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Z:\6_Departamento_Técnico\ACO TÉCNICO\PROJETOS\Estrutura_Pasta\SWM\Trabalhos\Planilhas\Memorial de Cálculo\"/>
    </mc:Choice>
  </mc:AlternateContent>
  <xr:revisionPtr revIDLastSave="0" documentId="13_ncr:1_{BDC080B3-FE3B-447C-934A-B91BFDE7ECE3}" xr6:coauthVersionLast="47" xr6:coauthVersionMax="47" xr10:uidLastSave="{00000000-0000-0000-0000-000000000000}"/>
  <bookViews>
    <workbookView xWindow="-120" yWindow="-120" windowWidth="29040" windowHeight="15720" tabRatio="0" xr2:uid="{E3667294-2617-4CED-86FD-F0080609414D}"/>
  </bookViews>
  <sheets>
    <sheet name="Planilha3" sheetId="4" r:id="rId1"/>
    <sheet name="Planilha1" sheetId="1" r:id="rId2"/>
    <sheet name="Planilha4" sheetId="5" r:id="rId3"/>
    <sheet name="Planilha5" sheetId="7" r:id="rId4"/>
    <sheet name="Planilha6" sheetId="8" r:id="rId5"/>
    <sheet name="Planilha7" sheetId="9" r:id="rId6"/>
    <sheet name="Planilha2" sheetId="2" r:id="rId7"/>
  </sheets>
  <definedNames>
    <definedName name="_xlnm.Print_Area" localSheetId="4">Planilha6!$A$1:$AE$147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6" i="2" l="1"/>
  <c r="B155" i="2"/>
  <c r="A154" i="2"/>
  <c r="A152" i="2" l="1"/>
  <c r="A153" i="2" s="1"/>
  <c r="A155" i="2" s="1"/>
  <c r="A148" i="2"/>
  <c r="A149" i="2" s="1"/>
  <c r="A151" i="2" s="1"/>
  <c r="D139" i="2"/>
  <c r="B139" i="2"/>
  <c r="P20" i="8"/>
  <c r="P18" i="8"/>
  <c r="M119" i="2"/>
  <c r="M121" i="2" s="1"/>
  <c r="R110" i="8"/>
  <c r="M66" i="2"/>
  <c r="M67" i="2" s="1"/>
  <c r="P54" i="7" l="1"/>
  <c r="M122" i="2"/>
  <c r="M68" i="2"/>
  <c r="V110" i="8"/>
  <c r="R116" i="8"/>
  <c r="V116" i="8" s="1"/>
  <c r="M116" i="8"/>
  <c r="M110" i="8"/>
  <c r="M62" i="2"/>
  <c r="M63" i="2" s="1"/>
  <c r="P12" i="8"/>
  <c r="P14" i="8"/>
  <c r="P26" i="8"/>
  <c r="B140" i="2" s="1"/>
  <c r="P34" i="8"/>
  <c r="K87" i="2" s="1"/>
  <c r="B138" i="2" l="1"/>
  <c r="D138" i="2" s="1"/>
  <c r="T119" i="2"/>
  <c r="T120" i="2" s="1"/>
  <c r="M64" i="2"/>
  <c r="L51" i="8"/>
  <c r="B88" i="2"/>
  <c r="G141" i="2" l="1"/>
  <c r="H141" i="2" s="1"/>
  <c r="G139" i="2"/>
  <c r="H139" i="2" s="1"/>
  <c r="G138" i="2"/>
  <c r="H138" i="2" s="1"/>
  <c r="O43" i="2"/>
  <c r="O44" i="2" s="1"/>
  <c r="O45" i="2" s="1"/>
  <c r="P45" i="2" s="1"/>
  <c r="P24" i="8" s="1"/>
  <c r="B87" i="2" s="1"/>
  <c r="V43" i="2" s="1"/>
  <c r="L43" i="2"/>
  <c r="L44" i="2" s="1"/>
  <c r="L45" i="2" s="1"/>
  <c r="M45" i="2" s="1"/>
  <c r="G43" i="2"/>
  <c r="B43" i="2"/>
  <c r="O21" i="2"/>
  <c r="O20" i="2"/>
  <c r="P32" i="7" l="1"/>
  <c r="P62" i="2"/>
  <c r="V44" i="2"/>
  <c r="P22" i="8"/>
  <c r="B86" i="2" s="1"/>
  <c r="U43" i="2" s="1"/>
  <c r="Q44" i="8"/>
  <c r="D87" i="2"/>
  <c r="G44" i="2"/>
  <c r="G45" i="2" s="1"/>
  <c r="B44" i="2"/>
  <c r="B45" i="2" s="1"/>
  <c r="U44" i="2" l="1"/>
  <c r="T43" i="2"/>
  <c r="T44" i="2" s="1"/>
  <c r="D86" i="2"/>
  <c r="P61" i="2"/>
  <c r="P63" i="2" s="1"/>
  <c r="P64" i="2" s="1"/>
  <c r="P65" i="2" s="1"/>
  <c r="M70" i="2" s="1"/>
  <c r="N45" i="8"/>
  <c r="B46" i="2"/>
  <c r="B47" i="2" s="1"/>
  <c r="B48" i="2" s="1"/>
  <c r="B50" i="2" s="1"/>
  <c r="C45" i="2"/>
  <c r="G46" i="2"/>
  <c r="G47" i="2" s="1"/>
  <c r="G48" i="2" s="1"/>
  <c r="G50" i="2" s="1"/>
  <c r="H45" i="2"/>
  <c r="P18" i="5"/>
  <c r="P12" i="7" s="1"/>
  <c r="M128" i="2" l="1"/>
  <c r="M124" i="2"/>
  <c r="P56" i="7"/>
  <c r="P34" i="7"/>
  <c r="P32" i="8" s="1"/>
  <c r="L19" i="2"/>
  <c r="M126" i="2"/>
  <c r="P16" i="8"/>
  <c r="H68" i="8" s="1"/>
  <c r="M68" i="8" s="1"/>
  <c r="T68" i="8" s="1"/>
  <c r="B21" i="2"/>
  <c r="B20" i="2"/>
  <c r="B19" i="2"/>
  <c r="U46" i="2"/>
  <c r="U47" i="2" s="1"/>
  <c r="U48" i="2" s="1"/>
  <c r="V48" i="2" s="1"/>
  <c r="T46" i="2"/>
  <c r="T47" i="2" s="1"/>
  <c r="T48" i="2" s="1"/>
  <c r="U131" i="2" s="1"/>
  <c r="R104" i="8"/>
  <c r="K88" i="2"/>
  <c r="R98" i="8" s="1"/>
  <c r="V98" i="8" s="1"/>
  <c r="H88" i="2"/>
  <c r="R80" i="8" s="1"/>
  <c r="V80" i="8" s="1"/>
  <c r="P24" i="7"/>
  <c r="P30" i="8" l="1"/>
  <c r="V119" i="2"/>
  <c r="V120" i="2" s="1"/>
  <c r="U119" i="2"/>
  <c r="U120" i="2" s="1"/>
  <c r="B113" i="2"/>
  <c r="B114" i="2"/>
  <c r="P42" i="7"/>
  <c r="P38" i="7"/>
  <c r="T122" i="2" l="1"/>
  <c r="T123" i="2" s="1"/>
  <c r="T124" i="2" s="1"/>
  <c r="U128" i="2" s="1"/>
  <c r="U129" i="2" s="1"/>
  <c r="U132" i="2" s="1"/>
  <c r="U122" i="2"/>
  <c r="P26" i="7"/>
  <c r="P28" i="8" s="1"/>
  <c r="M72" i="2" s="1"/>
  <c r="U123" i="2" l="1"/>
  <c r="U124" i="2" s="1"/>
  <c r="V124" i="2" s="1"/>
  <c r="P36" i="8"/>
  <c r="V132" i="2"/>
  <c r="W132" i="2" s="1"/>
  <c r="P38" i="8" s="1"/>
  <c r="F86" i="2"/>
  <c r="H89" i="2" s="1"/>
  <c r="R92" i="8"/>
  <c r="V92" i="8" s="1"/>
  <c r="V104" i="8"/>
  <c r="L141" i="2" l="1"/>
  <c r="R86" i="8" s="1"/>
  <c r="V86" i="8" s="1"/>
  <c r="H86" i="2"/>
  <c r="H87" i="2"/>
  <c r="L139" i="2" l="1"/>
  <c r="R74" i="8" s="1"/>
  <c r="V74" i="8" s="1"/>
  <c r="L138" i="2"/>
  <c r="R68" i="8" s="1"/>
  <c r="V68" i="8" s="1"/>
  <c r="V122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tc={124EE464-EDB1-43ED-BC75-D6417BB0E74F}</author>
    <author>tc={30BACC6C-9C78-480C-B353-730B52A47F86}</author>
    <author>tc={E936B5E8-B169-4D72-B57E-202F03226496}</author>
  </authors>
  <commentList>
    <comment ref="T104" authorId="0" shapeId="0" xr:uid="{124EE464-EDB1-43ED-BC75-D6417BB0E74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Consultar ACO Brasil</t>
      </text>
    </comment>
    <comment ref="T110" authorId="1" shapeId="0" xr:uid="{30BACC6C-9C78-480C-B353-730B52A47F8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Consultar ACO Brasil</t>
      </text>
    </comment>
    <comment ref="T116" authorId="2" shapeId="0" xr:uid="{E936B5E8-B169-4D72-B57E-202F0322649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Consultar ACO Brasil</t>
      </text>
    </comment>
  </commentList>
</comments>
</file>

<file path=xl/sharedStrings.xml><?xml version="1.0" encoding="utf-8"?>
<sst xmlns="http://schemas.openxmlformats.org/spreadsheetml/2006/main" count="188" uniqueCount="148">
  <si>
    <t>Atenuação</t>
  </si>
  <si>
    <t>Infiltração</t>
  </si>
  <si>
    <t>Qual a Classe de Carga sobre o StormBrixx?</t>
  </si>
  <si>
    <t>m</t>
  </si>
  <si>
    <t>Tráfego Leve</t>
  </si>
  <si>
    <t>Tráfego Pesado</t>
  </si>
  <si>
    <t>Qual o recobrimento sobre o StormBrixx? (m)</t>
  </si>
  <si>
    <t>Qual vai ser a função do StormBrixx?</t>
  </si>
  <si>
    <t>Por favor, selecione a função e a classe de carga do StormBrixx. Também é preciso definir o recobrimento. Obrigado :)</t>
  </si>
  <si>
    <t>ACO StormBrixx HD900</t>
  </si>
  <si>
    <t>ATENÇÃO: o recobrimento mínimo é 0,6 metros.</t>
  </si>
  <si>
    <t>ATENÇÃO: o recobrimento não pode exceder 5,08 metros.</t>
  </si>
  <si>
    <t>Pré-Dimensionamento ACO StormBrixx</t>
  </si>
  <si>
    <t>Dimensionamento ACO StormBrixx</t>
  </si>
  <si>
    <t>ACO StormBrixx SD900</t>
  </si>
  <si>
    <t>Faça o pré-dimensionamento, por favor.</t>
  </si>
  <si>
    <t>Avaliação ACO sobre a profundidade máxima (Recobrimento + Altura do StormBrixx):</t>
  </si>
  <si>
    <t>Qual a altura do StormBrixx?</t>
  </si>
  <si>
    <t>Defina a altura do StormBrixx, por favor.</t>
  </si>
  <si>
    <t>OK</t>
  </si>
  <si>
    <t>Qual o diâmetro da tubulação de entrada?</t>
  </si>
  <si>
    <t>ATENÇÃO: A profundidade máxima executável não pode ser maior que 4,5 metros para o ACO StormBrixx SD900. Sugerimos diminuir o recobrimento sobre o StormBrixx, a altura do StormBrixx ou optar pela versão mais resistente.</t>
  </si>
  <si>
    <t>ATENÇÃO: A profundidade máxima executável não pode ser maior que 6 metros para o ACO StormBrixx HD900. Sugerimos diminuir o recobrimento sobre o StormBrixx ou a altura do StormBrixx.</t>
  </si>
  <si>
    <t>Defina as dimensões do StormBrixx, por favor.</t>
  </si>
  <si>
    <t>un</t>
  </si>
  <si>
    <t>Avaliação ACO sobre a quantidade de entradas:</t>
  </si>
  <si>
    <t>m³</t>
  </si>
  <si>
    <t>A</t>
  </si>
  <si>
    <t>B</t>
  </si>
  <si>
    <t>Qual a largura disponível?                                                               (B)</t>
  </si>
  <si>
    <t>Qual o comprimento disponível?                                                (A)</t>
  </si>
  <si>
    <t>Qual a quantidade de tubulações de entrada?</t>
  </si>
  <si>
    <t>Avaliação ACO sobre a quantidade de saídas:</t>
  </si>
  <si>
    <t>Escolha por qual lado as tubulações vão entrar no StormBrixx, por favor.</t>
  </si>
  <si>
    <t>ATENÇÃO: A quantidade de entradas não é compatível com as dimensões requeridas. Sugerimos aumentar a dimensão do lado escolhido (A ou B) ou diminuir a quantidade de tubulações de entrada.</t>
  </si>
  <si>
    <t>ATENÇÃO: O comprimento mínimo do StormBrix é de 1,8 metros.</t>
  </si>
  <si>
    <t>ATENÇÃO: A largura mínima do StormBrix é de 1,8 metros.</t>
  </si>
  <si>
    <t>Escolha por qual lado as tubulações vão sair do StormBrixx, por favor.</t>
  </si>
  <si>
    <t>ATENÇÃO: A quantidade de saídas não é compatível com as dimensões requeridas. Sugerimos aumentar a dimensão do lado escolhido (A ou B) ou diminuir a quantidade de tubulações de entrada.</t>
  </si>
  <si>
    <t>Por qual lado as tubulações irão entrar?</t>
  </si>
  <si>
    <t>Por qual lado as tubulações irão sair?</t>
  </si>
  <si>
    <t>x</t>
  </si>
  <si>
    <t>y</t>
  </si>
  <si>
    <t>Recomendação ACO:</t>
  </si>
  <si>
    <t>Qual a quantidade de tubulações de controle de fundo?</t>
  </si>
  <si>
    <t>Avaliação Final ACO:</t>
  </si>
  <si>
    <t>Projeto Executável :D</t>
  </si>
  <si>
    <t>ATENÇÃO: Não recomendamos executar sem a aprovação das avaliações ACO.</t>
  </si>
  <si>
    <t>Qual o diâmetro da tubulação de controle de fundo?</t>
  </si>
  <si>
    <t>Configuração do ACO StormBrixx</t>
  </si>
  <si>
    <t>Resistente a:</t>
  </si>
  <si>
    <t>Função do ACO StormBrixx:</t>
  </si>
  <si>
    <t>Recobrimento:</t>
  </si>
  <si>
    <t>Volume Total:</t>
  </si>
  <si>
    <t>Volume de Armazenamento (Útil):</t>
  </si>
  <si>
    <t>Número de Camadas:</t>
  </si>
  <si>
    <t>m²</t>
  </si>
  <si>
    <t>Geomembrana:</t>
  </si>
  <si>
    <t>Geotêxtil:</t>
  </si>
  <si>
    <t>A1</t>
  </si>
  <si>
    <t>A2</t>
  </si>
  <si>
    <t>A3</t>
  </si>
  <si>
    <t>Defina a classe de carga do StormBrixx, por favor.</t>
  </si>
  <si>
    <t>Defina a função do StormBrixx, por favor.</t>
  </si>
  <si>
    <t>Defina a altura do recobrimento, por favor.</t>
  </si>
  <si>
    <t>Lista de Materiais do ACO StormBrixx</t>
  </si>
  <si>
    <t>Código</t>
  </si>
  <si>
    <t>Quantidade</t>
  </si>
  <si>
    <t>Peso un (kg)</t>
  </si>
  <si>
    <t>Peso Total (kg)</t>
  </si>
  <si>
    <t>Descrição</t>
  </si>
  <si>
    <t xml:space="preserve">Total:  </t>
  </si>
  <si>
    <t>Painel Lateral</t>
  </si>
  <si>
    <t>Tampa Superior</t>
  </si>
  <si>
    <t>Placa de Acesso</t>
  </si>
  <si>
    <t>Extensor de Inspeção</t>
  </si>
  <si>
    <t>Tampa de Ferro Fundido</t>
  </si>
  <si>
    <t>ACO BR</t>
  </si>
  <si>
    <t>Conector de Camada</t>
  </si>
  <si>
    <t>C</t>
  </si>
  <si>
    <t>L</t>
  </si>
  <si>
    <t>Faça o pré-dimensionamento.</t>
  </si>
  <si>
    <t>Meio-Modulo SD900</t>
  </si>
  <si>
    <t>Meio-Modulo HD900</t>
  </si>
  <si>
    <t>Tubo Conector DN100</t>
  </si>
  <si>
    <t>Tubo Conector DN150</t>
  </si>
  <si>
    <t>Tubo Conector DN200</t>
  </si>
  <si>
    <t>Tubo Conector DN250</t>
  </si>
  <si>
    <t>Tubo Conector DN300</t>
  </si>
  <si>
    <t>Tubo Conector DN350</t>
  </si>
  <si>
    <t>Tubo Conector DN400</t>
  </si>
  <si>
    <t>Tubo Conector DN450</t>
  </si>
  <si>
    <t>Tubo Conector DN500</t>
  </si>
  <si>
    <t>Entre em contato conosco e fale com a nossa Equipe :)</t>
  </si>
  <si>
    <t>Email: aco@acodrenagem.com.br</t>
  </si>
  <si>
    <t>Tel.: +55 (12) 3878-4686 / (12) 98273-0044</t>
  </si>
  <si>
    <t>Instagram: @aco_brasil</t>
  </si>
  <si>
    <t>Facebook: ACO Brasil</t>
  </si>
  <si>
    <t xml:space="preserve">ACO Soluções em Drenagem Ltda.                                                               </t>
  </si>
  <si>
    <t>Estr. Mun. Abade Biagino Chieffi, 866 - Rio Abaixo,            Jacareí - SP, 12334-480, Brasil</t>
  </si>
  <si>
    <t>Linkedin: ACO Brasil</t>
  </si>
  <si>
    <t>Youtube: @acodrenagem</t>
  </si>
  <si>
    <t>entrada</t>
  </si>
  <si>
    <t>saída</t>
  </si>
  <si>
    <t>O StormBrixx vai trabalhar afogado?</t>
  </si>
  <si>
    <t>Sim</t>
  </si>
  <si>
    <t>Não</t>
  </si>
  <si>
    <t>Defina se o SXX vai trabalhar afogado ou não</t>
  </si>
  <si>
    <t>total PV</t>
  </si>
  <si>
    <t>O StormBrixx vai usar layout otimizado?</t>
  </si>
  <si>
    <t>Defina o Layout do StormBrixx, por favor.</t>
  </si>
  <si>
    <t>Comprimento</t>
  </si>
  <si>
    <t>Largura</t>
  </si>
  <si>
    <t>Comprimento U</t>
  </si>
  <si>
    <t>Largura U</t>
  </si>
  <si>
    <t>Normal</t>
  </si>
  <si>
    <t>Afogado</t>
  </si>
  <si>
    <t>Defina a quantidade de tubulações de entrada</t>
  </si>
  <si>
    <t>Total</t>
  </si>
  <si>
    <t>StormBrixx trabalhando afogado:</t>
  </si>
  <si>
    <t>StormBrixx com layout otimizado:</t>
  </si>
  <si>
    <t>Comprimento do StormBrixx:</t>
  </si>
  <si>
    <t>Largura do StormBrixx:</t>
  </si>
  <si>
    <t>Altura do StormBrixx:</t>
  </si>
  <si>
    <t>Sobra</t>
  </si>
  <si>
    <t>Base</t>
  </si>
  <si>
    <t>União T</t>
  </si>
  <si>
    <t>União U</t>
  </si>
  <si>
    <t>unico</t>
  </si>
  <si>
    <t>duplo</t>
  </si>
  <si>
    <t>-</t>
  </si>
  <si>
    <t>tampa</t>
  </si>
  <si>
    <t>painel</t>
  </si>
  <si>
    <t>corpo</t>
  </si>
  <si>
    <t>conector</t>
  </si>
  <si>
    <t>Existe presença de lençol freático?</t>
  </si>
  <si>
    <t>Qual nível do lençol freático em relação a base do SXX?</t>
  </si>
  <si>
    <t>Qual a densidade média do solo do recobrimento?</t>
  </si>
  <si>
    <t>fator de segurança</t>
  </si>
  <si>
    <t>kN/m²</t>
  </si>
  <si>
    <t>densidade do solo</t>
  </si>
  <si>
    <t>cota do lençol freatico</t>
  </si>
  <si>
    <t>empuxo</t>
  </si>
  <si>
    <t>kg/m³</t>
  </si>
  <si>
    <t>recobrimento</t>
  </si>
  <si>
    <t>kN/m³</t>
  </si>
  <si>
    <t>Avaliação ACO sobre aplicação em lençol freático:</t>
  </si>
  <si>
    <t>O Empuxo é maior que a força Peso do recobrimento. Recomendamos aumentar o recobrimento ou aumentar a densidade média do solo.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</si>
</sst>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1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name val="Aptos Narrow"/>
      <family val="2"/>
      <scheme val="minor"/>
    </font>
    <font>
      <b/>
      <sz val="16"/>
      <color theme="7" tint="-0.49998474074526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rgb="FF1E3E5E"/>
      <name val="Aptos Narrow"/>
      <family val="2"/>
      <scheme val="minor"/>
    </font>
    <font>
      <b/>
      <sz val="14"/>
      <color rgb="FF1E3E5E"/>
      <name val="Aptos Narrow"/>
      <family val="2"/>
      <scheme val="minor"/>
    </font>
    <font>
      <sz val="12"/>
      <color theme="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1E3E5E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2" fontId="0" fillId="0" borderId="0" xfId="0" applyNumberFormat="1"/>
    <xf numFmtId="164" fontId="0" fillId="0" borderId="0" xfId="0" applyNumberFormat="1"/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5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7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 wrapText="1"/>
    </xf>
    <xf numFmtId="2" fontId="1" fillId="0" borderId="8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0" fontId="9" fillId="2" borderId="0" xfId="0" applyFont="1" applyFill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0" fontId="7" fillId="0" borderId="11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8"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B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E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545200"/>
      </font>
      <fill>
        <patternFill>
          <bgColor rgb="FFFEFF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545200"/>
      </font>
      <fill>
        <patternFill>
          <bgColor rgb="FFFB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color rgb="FF545200"/>
      </font>
      <fill>
        <patternFill>
          <bgColor rgb="FFFCFFD1"/>
        </patternFill>
      </fill>
    </dxf>
    <dxf>
      <font>
        <b val="0"/>
        <i val="0"/>
        <color rgb="FF545200"/>
      </font>
      <fill>
        <patternFill>
          <bgColor rgb="FFFBFFD1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theme="6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rgb="FFFFD1D1"/>
        </patternFill>
      </fill>
    </dxf>
    <dxf>
      <font>
        <color rgb="FFC00000"/>
      </font>
      <fill>
        <patternFill>
          <bgColor rgb="FFFFD1D1"/>
        </patternFill>
      </fill>
    </dxf>
  </dxfs>
  <tableStyles count="0" defaultTableStyle="TableStyleMedium2" defaultPivotStyle="PivotStyleLight16"/>
  <colors>
    <mruColors>
      <color rgb="FFFFD1D1"/>
      <color rgb="FFFCFFD1"/>
      <color rgb="FF545200"/>
      <color rgb="FFFBFFD1"/>
      <color rgb="FFFEFFD1"/>
      <color rgb="FF1E3E5E"/>
      <color rgb="FF84ABC1"/>
      <color rgb="FF9CB6C2"/>
      <color rgb="FF3E5D76"/>
      <color rgb="FFF9FF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Planilha2!$C$61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Planilha2!$B$62:$B$74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Planilha2!$C$62:$C$74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4F-451D-8C67-DC717AD2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94320"/>
        <c:axId val="1140008240"/>
      </c:scatterChart>
      <c:valAx>
        <c:axId val="113999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40008240"/>
        <c:crosses val="autoZero"/>
        <c:crossBetween val="midCat"/>
      </c:valAx>
      <c:valAx>
        <c:axId val="114000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99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Planilha2!$C$119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073709536307966E-2"/>
                  <c:y val="-2.09802420530766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Planilha2!$B$120:$B$128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Planilha2!$C$120:$C$128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23-42D2-8F5C-057A71D92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515696"/>
        <c:axId val="1348517136"/>
      </c:scatterChart>
      <c:valAx>
        <c:axId val="134851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517136"/>
        <c:crosses val="autoZero"/>
        <c:crossBetween val="midCat"/>
      </c:valAx>
      <c:valAx>
        <c:axId val="134851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515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Planilha4!A1"/><Relationship Id="rId13" Type="http://schemas.openxmlformats.org/officeDocument/2006/relationships/hyperlink" Target="#Planilha3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Planilha1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hyperlink" Target="#Planilha7!A1"/><Relationship Id="rId5" Type="http://schemas.openxmlformats.org/officeDocument/2006/relationships/image" Target="../media/image5.png"/><Relationship Id="rId10" Type="http://schemas.openxmlformats.org/officeDocument/2006/relationships/hyperlink" Target="#Planilha6!A1"/><Relationship Id="rId4" Type="http://schemas.openxmlformats.org/officeDocument/2006/relationships/image" Target="../media/image4.png"/><Relationship Id="rId9" Type="http://schemas.openxmlformats.org/officeDocument/2006/relationships/hyperlink" Target="#Planilha5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Planilha3!A1"/><Relationship Id="rId7" Type="http://schemas.microsoft.com/office/2007/relationships/hdphoto" Target="../media/hdphoto1.wdp"/><Relationship Id="rId12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hyperlink" Target="#Planilha4!A1"/><Relationship Id="rId10" Type="http://schemas.microsoft.com/office/2007/relationships/hdphoto" Target="../media/hdphoto2.wdp"/><Relationship Id="rId4" Type="http://schemas.openxmlformats.org/officeDocument/2006/relationships/image" Target="../media/image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hyperlink" Target="#Planilha3!A1"/><Relationship Id="rId7" Type="http://schemas.microsoft.com/office/2007/relationships/hdphoto" Target="../media/hdphoto2.wdp"/><Relationship Id="rId2" Type="http://schemas.openxmlformats.org/officeDocument/2006/relationships/hyperlink" Target="#Planilha5!A1"/><Relationship Id="rId1" Type="http://schemas.openxmlformats.org/officeDocument/2006/relationships/hyperlink" Target="#Planilha1!A1"/><Relationship Id="rId6" Type="http://schemas.openxmlformats.org/officeDocument/2006/relationships/image" Target="../media/image9.png"/><Relationship Id="rId5" Type="http://schemas.openxmlformats.org/officeDocument/2006/relationships/image" Target="../media/image11.png"/><Relationship Id="rId4" Type="http://schemas.openxmlformats.org/officeDocument/2006/relationships/image" Target="../media/image2.png"/><Relationship Id="rId9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11.png"/><Relationship Id="rId7" Type="http://schemas.microsoft.com/office/2007/relationships/hdphoto" Target="../media/hdphoto3.wdp"/><Relationship Id="rId2" Type="http://schemas.openxmlformats.org/officeDocument/2006/relationships/hyperlink" Target="#Planilha4!A1"/><Relationship Id="rId1" Type="http://schemas.openxmlformats.org/officeDocument/2006/relationships/hyperlink" Target="#Planilha6!A1"/><Relationship Id="rId6" Type="http://schemas.openxmlformats.org/officeDocument/2006/relationships/image" Target="../media/image10.png"/><Relationship Id="rId5" Type="http://schemas.openxmlformats.org/officeDocument/2006/relationships/image" Target="../media/image2.png"/><Relationship Id="rId4" Type="http://schemas.openxmlformats.org/officeDocument/2006/relationships/hyperlink" Target="#Planilha3!A1"/><Relationship Id="rId9" Type="http://schemas.microsoft.com/office/2007/relationships/hdphoto" Target="../media/hdphoto4.wdp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13" Type="http://schemas.openxmlformats.org/officeDocument/2006/relationships/image" Target="../media/image18.jpeg"/><Relationship Id="rId18" Type="http://schemas.microsoft.com/office/2007/relationships/hdphoto" Target="../media/hdphoto4.wdp"/><Relationship Id="rId3" Type="http://schemas.openxmlformats.org/officeDocument/2006/relationships/hyperlink" Target="#Planilha5!A1"/><Relationship Id="rId7" Type="http://schemas.openxmlformats.org/officeDocument/2006/relationships/image" Target="../media/image13.png"/><Relationship Id="rId12" Type="http://schemas.openxmlformats.org/officeDocument/2006/relationships/image" Target="../media/image17.jpeg"/><Relationship Id="rId17" Type="http://schemas.openxmlformats.org/officeDocument/2006/relationships/image" Target="../media/image12.png"/><Relationship Id="rId2" Type="http://schemas.microsoft.com/office/2007/relationships/hdphoto" Target="../media/hdphoto3.wdp"/><Relationship Id="rId16" Type="http://schemas.openxmlformats.org/officeDocument/2006/relationships/image" Target="../media/image21.png"/><Relationship Id="rId20" Type="http://schemas.microsoft.com/office/2007/relationships/hdphoto" Target="../media/hdphoto2.wdp"/><Relationship Id="rId1" Type="http://schemas.openxmlformats.org/officeDocument/2006/relationships/image" Target="../media/image10.png"/><Relationship Id="rId6" Type="http://schemas.openxmlformats.org/officeDocument/2006/relationships/image" Target="../media/image2.png"/><Relationship Id="rId11" Type="http://schemas.openxmlformats.org/officeDocument/2006/relationships/image" Target="../media/image16.jpeg"/><Relationship Id="rId5" Type="http://schemas.openxmlformats.org/officeDocument/2006/relationships/hyperlink" Target="#Planilha3!A1"/><Relationship Id="rId15" Type="http://schemas.openxmlformats.org/officeDocument/2006/relationships/image" Target="../media/image20.jpg"/><Relationship Id="rId10" Type="http://schemas.openxmlformats.org/officeDocument/2006/relationships/image" Target="../media/image15.jpeg"/><Relationship Id="rId19" Type="http://schemas.openxmlformats.org/officeDocument/2006/relationships/image" Target="../media/image9.png"/><Relationship Id="rId4" Type="http://schemas.openxmlformats.org/officeDocument/2006/relationships/hyperlink" Target="#Planilha7!A1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lanilha3!A1"/><Relationship Id="rId2" Type="http://schemas.openxmlformats.org/officeDocument/2006/relationships/hyperlink" Target="#Planilha6!A1"/><Relationship Id="rId1" Type="http://schemas.openxmlformats.org/officeDocument/2006/relationships/image" Target="../media/image22.png"/><Relationship Id="rId6" Type="http://schemas.microsoft.com/office/2007/relationships/hdphoto" Target="../media/hdphoto6.wdp"/><Relationship Id="rId5" Type="http://schemas.openxmlformats.org/officeDocument/2006/relationships/image" Target="../media/image23.png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0</xdr:rowOff>
    </xdr:from>
    <xdr:to>
      <xdr:col>32</xdr:col>
      <xdr:colOff>380999</xdr:colOff>
      <xdr:row>53</xdr:row>
      <xdr:rowOff>85724</xdr:rowOff>
    </xdr:to>
    <xdr:grpSp>
      <xdr:nvGrpSpPr>
        <xdr:cNvPr id="65" name="Agrupar 64">
          <a:extLst>
            <a:ext uri="{FF2B5EF4-FFF2-40B4-BE49-F238E27FC236}">
              <a16:creationId xmlns:a16="http://schemas.microsoft.com/office/drawing/2014/main" id="{7A6152AD-B884-DB0C-0E4C-8F1634FF5A6D}"/>
            </a:ext>
          </a:extLst>
        </xdr:cNvPr>
        <xdr:cNvGrpSpPr/>
      </xdr:nvGrpSpPr>
      <xdr:grpSpPr>
        <a:xfrm>
          <a:off x="9524" y="0"/>
          <a:ext cx="19878675" cy="10182224"/>
          <a:chOff x="9524" y="0"/>
          <a:chExt cx="19878675" cy="10182224"/>
        </a:xfrm>
        <a:solidFill>
          <a:srgbClr val="1E3E5E"/>
        </a:solidFill>
      </xdr:grpSpPr>
      <xdr:grpSp>
        <xdr:nvGrpSpPr>
          <xdr:cNvPr id="64" name="Agrupar 63">
            <a:extLst>
              <a:ext uri="{FF2B5EF4-FFF2-40B4-BE49-F238E27FC236}">
                <a16:creationId xmlns:a16="http://schemas.microsoft.com/office/drawing/2014/main" id="{28FF13A7-17C9-D64F-83A8-E3070CB8E33D}"/>
              </a:ext>
            </a:extLst>
          </xdr:cNvPr>
          <xdr:cNvGrpSpPr/>
        </xdr:nvGrpSpPr>
        <xdr:grpSpPr>
          <a:xfrm>
            <a:off x="9524" y="0"/>
            <a:ext cx="19878675" cy="10182224"/>
            <a:chOff x="9524" y="0"/>
            <a:chExt cx="19878675" cy="10182224"/>
          </a:xfrm>
          <a:grpFill/>
        </xdr:grpSpPr>
        <xdr:sp macro="" textlink="">
          <xdr:nvSpPr>
            <xdr:cNvPr id="60" name="Retângulo 59">
              <a:extLst>
                <a:ext uri="{FF2B5EF4-FFF2-40B4-BE49-F238E27FC236}">
                  <a16:creationId xmlns:a16="http://schemas.microsoft.com/office/drawing/2014/main" id="{068B6FC4-31BA-7E33-58E9-C1542EC0B5B3}"/>
                </a:ext>
              </a:extLst>
            </xdr:cNvPr>
            <xdr:cNvSpPr/>
          </xdr:nvSpPr>
          <xdr:spPr>
            <a:xfrm>
              <a:off x="9524" y="0"/>
              <a:ext cx="19878675" cy="10182224"/>
            </a:xfrm>
            <a:prstGeom prst="rect">
              <a:avLst/>
            </a:prstGeom>
            <a:grp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1E3E5E"/>
                </a:solidFill>
              </a:endParaRPr>
            </a:p>
          </xdr:txBody>
        </xdr:sp>
        <xdr:grpSp>
          <xdr:nvGrpSpPr>
            <xdr:cNvPr id="63" name="Agrupar 62">
              <a:extLst>
                <a:ext uri="{FF2B5EF4-FFF2-40B4-BE49-F238E27FC236}">
                  <a16:creationId xmlns:a16="http://schemas.microsoft.com/office/drawing/2014/main" id="{78D7824F-D427-B21B-D43B-77238CCDD9B5}"/>
                </a:ext>
              </a:extLst>
            </xdr:cNvPr>
            <xdr:cNvGrpSpPr/>
          </xdr:nvGrpSpPr>
          <xdr:grpSpPr>
            <a:xfrm>
              <a:off x="431426" y="247650"/>
              <a:ext cx="17363010" cy="7858124"/>
              <a:chOff x="431426" y="247650"/>
              <a:chExt cx="17363010" cy="7858124"/>
            </a:xfrm>
            <a:grpFill/>
          </xdr:grpSpPr>
          <xdr:pic>
            <xdr:nvPicPr>
              <xdr:cNvPr id="40" name="Imagem 39">
                <a:extLst>
                  <a:ext uri="{FF2B5EF4-FFF2-40B4-BE49-F238E27FC236}">
                    <a16:creationId xmlns:a16="http://schemas.microsoft.com/office/drawing/2014/main" id="{A6265195-CC69-E0B7-714D-8D922D34F61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821150" y="247650"/>
                <a:ext cx="973286" cy="648857"/>
              </a:xfrm>
              <a:prstGeom prst="rect">
                <a:avLst/>
              </a:prstGeom>
              <a:grpFill/>
            </xdr:spPr>
          </xdr:pic>
          <xdr:grpSp>
            <xdr:nvGrpSpPr>
              <xdr:cNvPr id="62" name="Agrupar 61">
                <a:extLst>
                  <a:ext uri="{FF2B5EF4-FFF2-40B4-BE49-F238E27FC236}">
                    <a16:creationId xmlns:a16="http://schemas.microsoft.com/office/drawing/2014/main" id="{66923C39-0736-3F91-6F7F-A848DE22EF3C}"/>
                  </a:ext>
                </a:extLst>
              </xdr:cNvPr>
              <xdr:cNvGrpSpPr/>
            </xdr:nvGrpSpPr>
            <xdr:grpSpPr>
              <a:xfrm>
                <a:off x="431426" y="267952"/>
                <a:ext cx="16456492" cy="7837822"/>
                <a:chOff x="431426" y="267952"/>
                <a:chExt cx="16456492" cy="7837822"/>
              </a:xfrm>
              <a:grpFill/>
            </xdr:grpSpPr>
            <xdr:grpSp>
              <xdr:nvGrpSpPr>
                <xdr:cNvPr id="61" name="Agrupar 60">
                  <a:extLst>
                    <a:ext uri="{FF2B5EF4-FFF2-40B4-BE49-F238E27FC236}">
                      <a16:creationId xmlns:a16="http://schemas.microsoft.com/office/drawing/2014/main" id="{4C0C1497-A08E-7A4F-706F-17B4D7F91E0F}"/>
                    </a:ext>
                  </a:extLst>
                </xdr:cNvPr>
                <xdr:cNvGrpSpPr/>
              </xdr:nvGrpSpPr>
              <xdr:grpSpPr>
                <a:xfrm>
                  <a:off x="431426" y="267952"/>
                  <a:ext cx="16456492" cy="7837822"/>
                  <a:chOff x="431426" y="267952"/>
                  <a:chExt cx="16456492" cy="7837822"/>
                </a:xfrm>
                <a:grpFill/>
              </xdr:grpSpPr>
              <xdr:grpSp>
                <xdr:nvGrpSpPr>
                  <xdr:cNvPr id="51" name="Agrupar 50">
                    <a:extLst>
                      <a:ext uri="{FF2B5EF4-FFF2-40B4-BE49-F238E27FC236}">
                        <a16:creationId xmlns:a16="http://schemas.microsoft.com/office/drawing/2014/main" id="{CCE86EB3-2051-98BE-2D62-08AA99AA825E}"/>
                      </a:ext>
                    </a:extLst>
                  </xdr:cNvPr>
                  <xdr:cNvGrpSpPr/>
                </xdr:nvGrpSpPr>
                <xdr:grpSpPr>
                  <a:xfrm>
                    <a:off x="1047750" y="781049"/>
                    <a:ext cx="15840168" cy="7324725"/>
                    <a:chOff x="2752725" y="1304925"/>
                    <a:chExt cx="12544425" cy="5800725"/>
                  </a:xfrm>
                  <a:grpFill/>
                </xdr:grpSpPr>
                <xdr:sp macro="" textlink="">
                  <xdr:nvSpPr>
                    <xdr:cNvPr id="3" name="Retângulo: Cantos Arredondados 2">
                      <a:extLst>
                        <a:ext uri="{FF2B5EF4-FFF2-40B4-BE49-F238E27FC236}">
                          <a16:creationId xmlns:a16="http://schemas.microsoft.com/office/drawing/2014/main" id="{34089755-9461-591D-7869-4DECA57EC559}"/>
                        </a:ext>
                      </a:extLst>
                    </xdr:cNvPr>
                    <xdr:cNvSpPr/>
                  </xdr:nvSpPr>
                  <xdr:spPr>
                    <a:xfrm>
                      <a:off x="2752725" y="1304925"/>
                      <a:ext cx="12544425" cy="5800725"/>
                    </a:xfrm>
                    <a:prstGeom prst="roundRect">
                      <a:avLst/>
                    </a:prstGeom>
                    <a:grpFill/>
                    <a:ln>
                      <a:noFill/>
                    </a:ln>
                  </xdr:spPr>
                  <xdr:style>
                    <a:lnRef idx="2">
                      <a:schemeClr val="accent1">
                        <a:shade val="15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ctr"/>
                      <a:r>
                        <a:rPr lang="pt-BR" sz="5400" b="1">
                          <a:solidFill>
                            <a:schemeClr val="bg1"/>
                          </a:solidFill>
                        </a:rPr>
                        <a:t>Configurador</a:t>
                      </a:r>
                      <a:r>
                        <a:rPr lang="pt-BR" sz="5400" b="1" baseline="0">
                          <a:solidFill>
                            <a:schemeClr val="bg1"/>
                          </a:solidFill>
                        </a:rPr>
                        <a:t> ACO StormBrixx Brasil</a:t>
                      </a:r>
                    </a:p>
                    <a:p>
                      <a:pPr algn="ctr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ctr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ctr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ctr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ctr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l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l"/>
                      <a:endParaRPr lang="pt-BR" sz="4000" b="1" baseline="0">
                        <a:solidFill>
                          <a:srgbClr val="1E3E5E"/>
                        </a:solidFill>
                      </a:endParaRPr>
                    </a:p>
                    <a:p>
                      <a:pPr algn="l"/>
                      <a:r>
                        <a:rPr lang="pt-BR" sz="3600" b="0" baseline="0">
                          <a:solidFill>
                            <a:schemeClr val="bg1"/>
                          </a:solidFill>
                        </a:rPr>
                        <a:t>      ACO. we care for water</a:t>
                      </a:r>
                      <a:endParaRPr lang="pt-BR" sz="4000" b="0" baseline="0">
                        <a:solidFill>
                          <a:schemeClr val="bg1"/>
                        </a:solidFill>
                      </a:endParaRPr>
                    </a:p>
                  </xdr:txBody>
                </xdr:sp>
                <xdr:pic>
                  <xdr:nvPicPr>
                    <xdr:cNvPr id="2" name="Imagem 1">
                      <a:extLst>
                        <a:ext uri="{FF2B5EF4-FFF2-40B4-BE49-F238E27FC236}">
                          <a16:creationId xmlns:a16="http://schemas.microsoft.com/office/drawing/2014/main" id="{1FCCF79D-7948-4EE4-B88B-02A423CA27AE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>
                    <a:blip xmlns:r="http://schemas.openxmlformats.org/officeDocument/2006/relationships" r:embed="rId2"/>
                    <a:stretch>
                      <a:fillRect/>
                    </a:stretch>
                  </xdr:blipFill>
                  <xdr:spPr>
                    <a:xfrm>
                      <a:off x="3895725" y="1590675"/>
                      <a:ext cx="881865" cy="724001"/>
                    </a:xfrm>
                    <a:prstGeom prst="roundRect">
                      <a:avLst>
                        <a:gd name="adj" fmla="val 8594"/>
                      </a:avLst>
                    </a:prstGeom>
                    <a:grpFill/>
                    <a:ln>
                      <a:noFill/>
                    </a:ln>
                    <a:effectLst/>
                  </xdr:spPr>
                </xdr:pic>
                <xdr:grpSp>
                  <xdr:nvGrpSpPr>
                    <xdr:cNvPr id="38" name="Agrupar 37">
                      <a:extLst>
                        <a:ext uri="{FF2B5EF4-FFF2-40B4-BE49-F238E27FC236}">
                          <a16:creationId xmlns:a16="http://schemas.microsoft.com/office/drawing/2014/main" id="{1BE37BDE-87DC-8E62-0D60-9E5128352C79}"/>
                        </a:ext>
                      </a:extLst>
                    </xdr:cNvPr>
                    <xdr:cNvGrpSpPr/>
                  </xdr:nvGrpSpPr>
                  <xdr:grpSpPr>
                    <a:xfrm>
                      <a:off x="10267949" y="2590800"/>
                      <a:ext cx="4819651" cy="3886199"/>
                      <a:chOff x="5067299" y="385165"/>
                      <a:chExt cx="8048626" cy="6539509"/>
                    </a:xfrm>
                    <a:grpFill/>
                  </xdr:grpSpPr>
                  <xdr:pic>
                    <xdr:nvPicPr>
                      <xdr:cNvPr id="7" name="Imagem 6">
                        <a:extLst>
                          <a:ext uri="{FF2B5EF4-FFF2-40B4-BE49-F238E27FC236}">
                            <a16:creationId xmlns:a16="http://schemas.microsoft.com/office/drawing/2014/main" id="{94E5B053-4F63-FC77-8E9E-0E031F76D0A7}"/>
                          </a:ext>
                        </a:extLst>
                      </xdr:cNvPr>
                      <xdr:cNvPicPr>
                        <a:picLocks noChangeAspect="1"/>
                      </xdr:cNvPicPr>
                    </xdr:nvPicPr>
                    <xdr:blipFill>
                      <a:blip xmlns:r="http://schemas.openxmlformats.org/officeDocument/2006/relationships" r:embed="rId3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tretch>
                        <a:fillRect/>
                      </a:stretch>
                    </xdr:blipFill>
                    <xdr:spPr>
                      <a:xfrm>
                        <a:off x="5067299" y="385165"/>
                        <a:ext cx="8048626" cy="6539509"/>
                      </a:xfrm>
                      <a:prstGeom prst="rect">
                        <a:avLst/>
                      </a:prstGeom>
                      <a:grpFill/>
                    </xdr:spPr>
                  </xdr:pic>
                  <xdr:sp macro="" textlink="">
                    <xdr:nvSpPr>
                      <xdr:cNvPr id="8" name="Elipse 7">
                        <a:extLst>
                          <a:ext uri="{FF2B5EF4-FFF2-40B4-BE49-F238E27FC236}">
                            <a16:creationId xmlns:a16="http://schemas.microsoft.com/office/drawing/2014/main" id="{4D87D980-C910-0FA1-A9FD-6AA139399839}"/>
                          </a:ext>
                        </a:extLst>
                      </xdr:cNvPr>
                      <xdr:cNvSpPr/>
                    </xdr:nvSpPr>
                    <xdr:spPr>
                      <a:xfrm>
                        <a:off x="9086850" y="3886200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9" name="Elipse 8">
                        <a:extLst>
                          <a:ext uri="{FF2B5EF4-FFF2-40B4-BE49-F238E27FC236}">
                            <a16:creationId xmlns:a16="http://schemas.microsoft.com/office/drawing/2014/main" id="{D0FCFBFF-B73D-4B09-9704-358254B3588E}"/>
                          </a:ext>
                        </a:extLst>
                      </xdr:cNvPr>
                      <xdr:cNvSpPr/>
                    </xdr:nvSpPr>
                    <xdr:spPr>
                      <a:xfrm>
                        <a:off x="10648950" y="3600450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" name="Elipse 9">
                        <a:extLst>
                          <a:ext uri="{FF2B5EF4-FFF2-40B4-BE49-F238E27FC236}">
                            <a16:creationId xmlns:a16="http://schemas.microsoft.com/office/drawing/2014/main" id="{E27C384D-C4F4-4EE4-AD52-FFE446AA4186}"/>
                          </a:ext>
                        </a:extLst>
                      </xdr:cNvPr>
                      <xdr:cNvSpPr/>
                    </xdr:nvSpPr>
                    <xdr:spPr>
                      <a:xfrm>
                        <a:off x="11239500" y="2962275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1" name="Elipse 10">
                        <a:extLst>
                          <a:ext uri="{FF2B5EF4-FFF2-40B4-BE49-F238E27FC236}">
                            <a16:creationId xmlns:a16="http://schemas.microsoft.com/office/drawing/2014/main" id="{F179B695-C760-45FF-9683-793ADC33D80A}"/>
                          </a:ext>
                        </a:extLst>
                      </xdr:cNvPr>
                      <xdr:cNvSpPr/>
                    </xdr:nvSpPr>
                    <xdr:spPr>
                      <a:xfrm>
                        <a:off x="10601325" y="2562225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2" name="Elipse 11">
                        <a:extLst>
                          <a:ext uri="{FF2B5EF4-FFF2-40B4-BE49-F238E27FC236}">
                            <a16:creationId xmlns:a16="http://schemas.microsoft.com/office/drawing/2014/main" id="{056251BB-F341-4999-958D-369B8F5374D1}"/>
                          </a:ext>
                        </a:extLst>
                      </xdr:cNvPr>
                      <xdr:cNvSpPr/>
                    </xdr:nvSpPr>
                    <xdr:spPr>
                      <a:xfrm>
                        <a:off x="9010650" y="2714625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3" name="Elipse 12">
                        <a:extLst>
                          <a:ext uri="{FF2B5EF4-FFF2-40B4-BE49-F238E27FC236}">
                            <a16:creationId xmlns:a16="http://schemas.microsoft.com/office/drawing/2014/main" id="{53F94CD7-6D7F-4195-87E2-1D37548B8D43}"/>
                          </a:ext>
                        </a:extLst>
                      </xdr:cNvPr>
                      <xdr:cNvSpPr/>
                    </xdr:nvSpPr>
                    <xdr:spPr>
                      <a:xfrm>
                        <a:off x="9515475" y="2333625"/>
                        <a:ext cx="142875" cy="142875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ysClr val="windowText" lastClr="000000"/>
                        </a:solidFill>
                      </a:ln>
                    </xdr:spPr>
                    <xdr:style>
                      <a:lnRef idx="2">
                        <a:schemeClr val="accent1">
                          <a:shade val="15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t-BR" sz="1100">
                          <a:solidFill>
                            <a:srgbClr val="1E3E5E"/>
                          </a:solidFill>
                        </a:endParaRPr>
                      </a:p>
                    </xdr:txBody>
                  </xdr:sp>
                  <xdr:cxnSp macro="">
                    <xdr:nvCxnSpPr>
                      <xdr:cNvPr id="16" name="Conector: Angulado 15">
                        <a:extLst>
                          <a:ext uri="{FF2B5EF4-FFF2-40B4-BE49-F238E27FC236}">
                            <a16:creationId xmlns:a16="http://schemas.microsoft.com/office/drawing/2014/main" id="{F127A7BD-8C10-78BE-8BEE-DC7CD1B91070}"/>
                          </a:ext>
                        </a:extLst>
                      </xdr:cNvPr>
                      <xdr:cNvCxnSpPr>
                        <a:stCxn id="13" idx="0"/>
                      </xdr:cNvCxnSpPr>
                    </xdr:nvCxnSpPr>
                    <xdr:spPr>
                      <a:xfrm rot="16200000" flipV="1">
                        <a:off x="8732044" y="1478756"/>
                        <a:ext cx="1181100" cy="528638"/>
                      </a:xfrm>
                      <a:prstGeom prst="bentConnector3">
                        <a:avLst>
                          <a:gd name="adj1" fmla="val 100000"/>
                        </a:avLst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2" name="Conector de Seta Reta 21">
                        <a:extLst>
                          <a:ext uri="{FF2B5EF4-FFF2-40B4-BE49-F238E27FC236}">
                            <a16:creationId xmlns:a16="http://schemas.microsoft.com/office/drawing/2014/main" id="{25AD99F4-28ED-C152-5A77-1B01D34A09E7}"/>
                          </a:ext>
                        </a:extLst>
                      </xdr:cNvPr>
                      <xdr:cNvCxnSpPr>
                        <a:stCxn id="11" idx="0"/>
                      </xdr:cNvCxnSpPr>
                    </xdr:nvCxnSpPr>
                    <xdr:spPr>
                      <a:xfrm flipV="1">
                        <a:off x="10672763" y="2028825"/>
                        <a:ext cx="4762" cy="533400"/>
                      </a:xfrm>
                      <a:prstGeom prst="straightConnector1">
                        <a:avLst/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2">
                        <a:schemeClr val="accent1"/>
                      </a:lnRef>
                      <a:fillRef idx="0">
                        <a:schemeClr val="accent1"/>
                      </a:fillRef>
                      <a:effectRef idx="1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3" name="Conector: Angulado 22">
                        <a:extLst>
                          <a:ext uri="{FF2B5EF4-FFF2-40B4-BE49-F238E27FC236}">
                            <a16:creationId xmlns:a16="http://schemas.microsoft.com/office/drawing/2014/main" id="{3D4ABC15-EB67-4BDC-97C7-63F302C4D8C6}"/>
                          </a:ext>
                        </a:extLst>
                      </xdr:cNvPr>
                      <xdr:cNvCxnSpPr>
                        <a:stCxn id="10" idx="0"/>
                      </xdr:cNvCxnSpPr>
                    </xdr:nvCxnSpPr>
                    <xdr:spPr>
                      <a:xfrm rot="5400000" flipH="1" flipV="1">
                        <a:off x="11218069" y="2464594"/>
                        <a:ext cx="590550" cy="404812"/>
                      </a:xfrm>
                      <a:prstGeom prst="bentConnector3">
                        <a:avLst>
                          <a:gd name="adj1" fmla="val 100000"/>
                        </a:avLst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9" name="Conector de Seta Reta 28">
                        <a:extLst>
                          <a:ext uri="{FF2B5EF4-FFF2-40B4-BE49-F238E27FC236}">
                            <a16:creationId xmlns:a16="http://schemas.microsoft.com/office/drawing/2014/main" id="{DEFAFC23-BF44-445E-91CE-891C1B17E305}"/>
                          </a:ext>
                        </a:extLst>
                      </xdr:cNvPr>
                      <xdr:cNvCxnSpPr>
                        <a:stCxn id="9" idx="4"/>
                      </xdr:cNvCxnSpPr>
                    </xdr:nvCxnSpPr>
                    <xdr:spPr>
                      <a:xfrm flipH="1">
                        <a:off x="10715625" y="3743325"/>
                        <a:ext cx="4763" cy="1514475"/>
                      </a:xfrm>
                      <a:prstGeom prst="straightConnector1">
                        <a:avLst/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2">
                        <a:schemeClr val="accent1"/>
                      </a:lnRef>
                      <a:fillRef idx="0">
                        <a:schemeClr val="accent1"/>
                      </a:fillRef>
                      <a:effectRef idx="1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2" name="Conector: Angulado 31">
                        <a:extLst>
                          <a:ext uri="{FF2B5EF4-FFF2-40B4-BE49-F238E27FC236}">
                            <a16:creationId xmlns:a16="http://schemas.microsoft.com/office/drawing/2014/main" id="{BDA08467-F626-45B9-B7FD-9750909B2EA7}"/>
                          </a:ext>
                        </a:extLst>
                      </xdr:cNvPr>
                      <xdr:cNvCxnSpPr>
                        <a:stCxn id="12" idx="0"/>
                      </xdr:cNvCxnSpPr>
                    </xdr:nvCxnSpPr>
                    <xdr:spPr>
                      <a:xfrm rot="16200000" flipV="1">
                        <a:off x="8308184" y="1940720"/>
                        <a:ext cx="752475" cy="795335"/>
                      </a:xfrm>
                      <a:prstGeom prst="bentConnector2">
                        <a:avLst/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5" name="Conector de Seta Reta 34">
                        <a:extLst>
                          <a:ext uri="{FF2B5EF4-FFF2-40B4-BE49-F238E27FC236}">
                            <a16:creationId xmlns:a16="http://schemas.microsoft.com/office/drawing/2014/main" id="{A0DD2FDF-72F4-46EC-BFA9-8D2C572E3918}"/>
                          </a:ext>
                        </a:extLst>
                      </xdr:cNvPr>
                      <xdr:cNvCxnSpPr>
                        <a:stCxn id="8" idx="2"/>
                      </xdr:cNvCxnSpPr>
                    </xdr:nvCxnSpPr>
                    <xdr:spPr>
                      <a:xfrm flipH="1">
                        <a:off x="7143750" y="3957638"/>
                        <a:ext cx="1943100" cy="4762"/>
                      </a:xfrm>
                      <a:prstGeom prst="straightConnector1">
                        <a:avLst/>
                      </a:prstGeom>
                      <a:grpFill/>
                      <a:ln>
                        <a:solidFill>
                          <a:schemeClr val="bg1"/>
                        </a:solidFill>
                        <a:tailEnd type="triangle"/>
                      </a:ln>
                    </xdr:spPr>
                    <xdr:style>
                      <a:lnRef idx="2">
                        <a:schemeClr val="accent1"/>
                      </a:lnRef>
                      <a:fillRef idx="0">
                        <a:schemeClr val="accent1"/>
                      </a:fillRef>
                      <a:effectRef idx="1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  <xdr:pic>
                  <xdr:nvPicPr>
                    <xdr:cNvPr id="46" name="Imagem 45">
                      <a:extLst>
                        <a:ext uri="{FF2B5EF4-FFF2-40B4-BE49-F238E27FC236}">
                          <a16:creationId xmlns:a16="http://schemas.microsoft.com/office/drawing/2014/main" id="{15FADB5B-4EA0-3881-3BEE-4CB9FA1CDD29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>
                    <a:blip xmlns:r="http://schemas.openxmlformats.org/officeDocument/2006/relationships" r:embed="rId4">
                      <a:extLst>
                        <a:ext uri="{28A0092B-C50C-407E-A947-70E740481C1C}">
                          <a14:useLocalDpi xmlns:a14="http://schemas.microsoft.com/office/drawing/2010/main" val="0"/>
                        </a:ext>
                      </a:extLst>
                    </a:blip>
                    <a:stretch>
                      <a:fillRect/>
                    </a:stretch>
                  </xdr:blipFill>
                  <xdr:spPr>
                    <a:xfrm flipH="1">
                      <a:off x="3124201" y="2981325"/>
                      <a:ext cx="4629150" cy="2529269"/>
                    </a:xfrm>
                    <a:prstGeom prst="rect">
                      <a:avLst/>
                    </a:prstGeom>
                    <a:grpFill/>
                  </xdr:spPr>
                </xdr:pic>
              </xdr:grpSp>
              <xdr:pic>
                <xdr:nvPicPr>
                  <xdr:cNvPr id="48" name="Imagem 47">
                    <a:extLst>
                      <a:ext uri="{FF2B5EF4-FFF2-40B4-BE49-F238E27FC236}">
                        <a16:creationId xmlns:a16="http://schemas.microsoft.com/office/drawing/2014/main" id="{946AC2D7-D397-EFAB-066F-28837566FD74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5">
                    <a:extLst>
                      <a:ext uri="{BEBA8EAE-BF5A-486C-A8C5-ECC9F3942E4B}">
                        <a14:imgProps xmlns:a14="http://schemas.microsoft.com/office/drawing/2010/main">
                          <a14:imgLayer r:embed="rId6">
                            <a14:imgEffect>
                              <a14:backgroundRemoval t="8475" b="89831" l="9524" r="94048">
                                <a14:foregroundMark x1="72024" y1="55932" x2="78571" y2="50847"/>
                                <a14:foregroundMark x1="66667" y1="38983" x2="69048" y2="66102"/>
                                <a14:foregroundMark x1="89881" y1="35593" x2="94048" y2="81356"/>
                                <a14:foregroundMark x1="84524" y1="44068" x2="80357" y2="74576"/>
                                <a14:foregroundMark x1="91071" y1="35593" x2="84524" y2="81356"/>
                              </a14:backgroundRemoval>
                            </a14:imgEffect>
                          </a14:imgLayer>
                        </a14:imgProps>
                      </a:ext>
                    </a:extLst>
                  </a:blip>
                  <a:srcRect l="45708"/>
                  <a:stretch/>
                </xdr:blipFill>
                <xdr:spPr>
                  <a:xfrm>
                    <a:off x="431426" y="267952"/>
                    <a:ext cx="492005" cy="316744"/>
                  </a:xfrm>
                  <a:prstGeom prst="rect">
                    <a:avLst/>
                  </a:prstGeom>
                  <a:grpFill/>
                </xdr:spPr>
              </xdr:pic>
            </xdr:grpSp>
            <xdr:sp macro="" textlink="">
              <xdr:nvSpPr>
                <xdr:cNvPr id="50" name="Rectangle 1">
                  <a:extLst>
                    <a:ext uri="{FF2B5EF4-FFF2-40B4-BE49-F238E27FC236}">
                      <a16:creationId xmlns:a16="http://schemas.microsoft.com/office/drawing/2014/main" id="{F99D8ABC-32C0-AA5D-C89E-CA19B9F4F546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944890" y="371037"/>
                  <a:ext cx="2266451" cy="196214"/>
                </a:xfrm>
                <a:prstGeom prst="rect">
                  <a:avLst/>
                </a:prstGeom>
                <a:grpFill/>
                <a:ln>
                  <a:noFill/>
                </a:ln>
                <a:effectLst/>
              </xdr:spPr>
              <xdr:txBody>
                <a:bodyPr vert="horz" wrap="square" lIns="0" tIns="-9522" rIns="0" bIns="-9522" numCol="1" anchor="ctr" anchorCtr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de-DE"/>
                  </a:defPPr>
                  <a:lvl1pPr marL="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3429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6858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0287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3716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17145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0574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24003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2743200" algn="l" defTabSz="685800" rtl="0" eaLnBrk="1" latinLnBrk="0" hangingPunct="1">
                    <a:defRPr sz="135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R="0" lvl="0" defTabSz="914400" rtl="0" eaLnBrk="0" fontAlgn="base" latinLnBrk="0" hangingPunct="0"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tabLst/>
                  </a:pPr>
                  <a:r>
                    <a:rPr lang="pt-PT" altLang="pt-BR" sz="700">
                      <a:solidFill>
                        <a:srgbClr val="1E3E5E"/>
                      </a:solidFill>
                    </a:rPr>
                    <a:t>Certificado pela DIBt e MFPA</a:t>
                  </a:r>
                </a:p>
                <a:p>
                  <a:pPr marR="0" lvl="0" defTabSz="914400" rtl="0" eaLnBrk="0" fontAlgn="base" latinLnBrk="0" hangingPunct="0"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tabLst/>
                  </a:pPr>
                  <a:r>
                    <a:rPr lang="pt-PT" altLang="pt-BR" sz="700">
                      <a:solidFill>
                        <a:srgbClr val="1E3E5E"/>
                      </a:solidFill>
                    </a:rPr>
                    <a:t>De acordo com a norma EN 17152-1</a:t>
                  </a:r>
                  <a:endParaRPr kumimoji="0" lang="pt-PT" altLang="pt-BR" sz="700" b="0" i="0" u="none" strike="noStrike" cap="none" normalizeH="0" baseline="0">
                    <a:ln>
                      <a:noFill/>
                    </a:ln>
                    <a:solidFill>
                      <a:srgbClr val="1E3E5E"/>
                    </a:solidFill>
                    <a:effectLst/>
                  </a:endParaRPr>
                </a:p>
              </xdr:txBody>
            </xdr:sp>
          </xdr:grpSp>
        </xdr:grpSp>
      </xdr:grpSp>
      <xdr:pic>
        <xdr:nvPicPr>
          <xdr:cNvPr id="49" name="Imagem 48">
            <a:extLst>
              <a:ext uri="{FF2B5EF4-FFF2-40B4-BE49-F238E27FC236}">
                <a16:creationId xmlns:a16="http://schemas.microsoft.com/office/drawing/2014/main" id="{73D8DC80-52D9-02D1-57E9-B794FB149F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4300" y="266700"/>
            <a:ext cx="305716" cy="31799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11</xdr:col>
      <xdr:colOff>600075</xdr:colOff>
      <xdr:row>21</xdr:row>
      <xdr:rowOff>152400</xdr:rowOff>
    </xdr:from>
    <xdr:to>
      <xdr:col>16</xdr:col>
      <xdr:colOff>466725</xdr:colOff>
      <xdr:row>24</xdr:row>
      <xdr:rowOff>85725</xdr:rowOff>
    </xdr:to>
    <xdr:sp macro="" textlink="">
      <xdr:nvSpPr>
        <xdr:cNvPr id="54" name="Retângulo: Cantos Arredondados 5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2794D9D-B27F-4DA4-8FCE-A0BBD221687F}"/>
            </a:ext>
          </a:extLst>
        </xdr:cNvPr>
        <xdr:cNvSpPr/>
      </xdr:nvSpPr>
      <xdr:spPr>
        <a:xfrm>
          <a:off x="7305675" y="4152900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Pré-Dimensionamento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11</xdr:col>
      <xdr:colOff>600075</xdr:colOff>
      <xdr:row>25</xdr:row>
      <xdr:rowOff>76200</xdr:rowOff>
    </xdr:from>
    <xdr:to>
      <xdr:col>16</xdr:col>
      <xdr:colOff>466725</xdr:colOff>
      <xdr:row>28</xdr:row>
      <xdr:rowOff>9525</xdr:rowOff>
    </xdr:to>
    <xdr:sp macro="" textlink="">
      <xdr:nvSpPr>
        <xdr:cNvPr id="55" name="Retângulo: Cantos Arredondados 5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4208508-DDE2-4DCD-B85B-A935AA44EFB3}"/>
            </a:ext>
          </a:extLst>
        </xdr:cNvPr>
        <xdr:cNvSpPr/>
      </xdr:nvSpPr>
      <xdr:spPr>
        <a:xfrm>
          <a:off x="7305675" y="4838700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Dimensionamento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11</xdr:col>
      <xdr:colOff>590550</xdr:colOff>
      <xdr:row>29</xdr:row>
      <xdr:rowOff>19050</xdr:rowOff>
    </xdr:from>
    <xdr:to>
      <xdr:col>16</xdr:col>
      <xdr:colOff>457200</xdr:colOff>
      <xdr:row>31</xdr:row>
      <xdr:rowOff>142875</xdr:rowOff>
    </xdr:to>
    <xdr:sp macro="" textlink="">
      <xdr:nvSpPr>
        <xdr:cNvPr id="56" name="Retângulo: Cantos Arredondados 5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3AE859F-ACD9-499A-81F9-64F8336022FF}"/>
            </a:ext>
          </a:extLst>
        </xdr:cNvPr>
        <xdr:cNvSpPr/>
      </xdr:nvSpPr>
      <xdr:spPr>
        <a:xfrm>
          <a:off x="7296150" y="5543550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Relatório</a:t>
          </a:r>
          <a:r>
            <a:rPr lang="pt-BR" sz="2000" b="1" baseline="0">
              <a:solidFill>
                <a:srgbClr val="1E3E5E"/>
              </a:solidFill>
            </a:rPr>
            <a:t> Técnico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11</xdr:col>
      <xdr:colOff>571500</xdr:colOff>
      <xdr:row>32</xdr:row>
      <xdr:rowOff>142874</xdr:rowOff>
    </xdr:from>
    <xdr:to>
      <xdr:col>16</xdr:col>
      <xdr:colOff>438150</xdr:colOff>
      <xdr:row>35</xdr:row>
      <xdr:rowOff>76199</xdr:rowOff>
    </xdr:to>
    <xdr:sp macro="" textlink="">
      <xdr:nvSpPr>
        <xdr:cNvPr id="57" name="Retângulo: Cantos Arredondados 5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A993ED-3293-4CD6-91E4-DBEA91983489}"/>
            </a:ext>
          </a:extLst>
        </xdr:cNvPr>
        <xdr:cNvSpPr/>
      </xdr:nvSpPr>
      <xdr:spPr>
        <a:xfrm>
          <a:off x="7277100" y="6238874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Orçamento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12</xdr:col>
      <xdr:colOff>0</xdr:colOff>
      <xdr:row>18</xdr:row>
      <xdr:rowOff>38100</xdr:rowOff>
    </xdr:from>
    <xdr:to>
      <xdr:col>16</xdr:col>
      <xdr:colOff>476250</xdr:colOff>
      <xdr:row>20</xdr:row>
      <xdr:rowOff>161925</xdr:rowOff>
    </xdr:to>
    <xdr:sp macro="" textlink="">
      <xdr:nvSpPr>
        <xdr:cNvPr id="58" name="Retângulo: Cantos Arredondados 5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A851C66-63C0-42CB-827F-2F164AC15007}"/>
            </a:ext>
          </a:extLst>
        </xdr:cNvPr>
        <xdr:cNvSpPr/>
      </xdr:nvSpPr>
      <xdr:spPr>
        <a:xfrm>
          <a:off x="7315200" y="3467100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Resumo</a:t>
          </a:r>
          <a:r>
            <a:rPr lang="pt-BR" sz="2000" b="1" baseline="0">
              <a:solidFill>
                <a:srgbClr val="1E3E5E"/>
              </a:solidFill>
            </a:rPr>
            <a:t> Técnico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12</xdr:col>
      <xdr:colOff>0</xdr:colOff>
      <xdr:row>14</xdr:row>
      <xdr:rowOff>123825</xdr:rowOff>
    </xdr:from>
    <xdr:to>
      <xdr:col>16</xdr:col>
      <xdr:colOff>476250</xdr:colOff>
      <xdr:row>17</xdr:row>
      <xdr:rowOff>57150</xdr:rowOff>
    </xdr:to>
    <xdr:sp macro="" textlink="">
      <xdr:nvSpPr>
        <xdr:cNvPr id="59" name="Retângulo: Cantos Arredondados 5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6B3CB86-9C8F-4B52-869D-8445C44DB0EA}"/>
            </a:ext>
          </a:extLst>
        </xdr:cNvPr>
        <xdr:cNvSpPr/>
      </xdr:nvSpPr>
      <xdr:spPr>
        <a:xfrm>
          <a:off x="7315200" y="2790825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Menu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33</xdr:col>
      <xdr:colOff>219075</xdr:colOff>
      <xdr:row>53</xdr:row>
      <xdr:rowOff>85724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3D4D82D8-B55A-48D3-8AD7-41C80DFCFD5D}"/>
            </a:ext>
          </a:extLst>
        </xdr:cNvPr>
        <xdr:cNvSpPr/>
      </xdr:nvSpPr>
      <xdr:spPr>
        <a:xfrm>
          <a:off x="0" y="0"/>
          <a:ext cx="19878675" cy="10182224"/>
        </a:xfrm>
        <a:prstGeom prst="rect">
          <a:avLst/>
        </a:prstGeom>
        <a:solidFill>
          <a:srgbClr val="1E3E5E"/>
        </a:solidFill>
        <a:ln>
          <a:solidFill>
            <a:srgbClr val="1E3E5E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266700</xdr:colOff>
      <xdr:row>2</xdr:row>
      <xdr:rowOff>38101</xdr:rowOff>
    </xdr:from>
    <xdr:to>
      <xdr:col>28</xdr:col>
      <xdr:colOff>257269</xdr:colOff>
      <xdr:row>9</xdr:row>
      <xdr:rowOff>1</xdr:rowOff>
    </xdr:to>
    <xdr:sp macro="" textlink="">
      <xdr:nvSpPr>
        <xdr:cNvPr id="21" name="Retângulo: Cantos Arredondados 20">
          <a:extLst>
            <a:ext uri="{FF2B5EF4-FFF2-40B4-BE49-F238E27FC236}">
              <a16:creationId xmlns:a16="http://schemas.microsoft.com/office/drawing/2014/main" id="{6E7294F4-92AF-49D0-B803-7241096F53EE}"/>
            </a:ext>
          </a:extLst>
        </xdr:cNvPr>
        <xdr:cNvSpPr/>
      </xdr:nvSpPr>
      <xdr:spPr>
        <a:xfrm>
          <a:off x="1028700" y="419101"/>
          <a:ext cx="15840169" cy="12954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5400" b="1" baseline="0"/>
            <a:t>Resumo Técnico</a:t>
          </a:r>
        </a:p>
        <a:p>
          <a:pPr algn="ctr"/>
          <a:endParaRPr lang="pt-BR" sz="4000" b="1" baseline="0"/>
        </a:p>
      </xdr:txBody>
    </xdr:sp>
    <xdr:clientData/>
  </xdr:twoCellAnchor>
  <xdr:twoCellAnchor>
    <xdr:from>
      <xdr:col>6</xdr:col>
      <xdr:colOff>375555</xdr:colOff>
      <xdr:row>10</xdr:row>
      <xdr:rowOff>38100</xdr:rowOff>
    </xdr:from>
    <xdr:to>
      <xdr:col>25</xdr:col>
      <xdr:colOff>125197</xdr:colOff>
      <xdr:row>42</xdr:row>
      <xdr:rowOff>47625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6834FDCE-2D80-0946-CD6F-AF11F1CF30ED}"/>
            </a:ext>
          </a:extLst>
        </xdr:cNvPr>
        <xdr:cNvGrpSpPr/>
      </xdr:nvGrpSpPr>
      <xdr:grpSpPr>
        <a:xfrm>
          <a:off x="3575955" y="1943100"/>
          <a:ext cx="11332042" cy="6105525"/>
          <a:chOff x="1994806" y="1104414"/>
          <a:chExt cx="8885708" cy="4787479"/>
        </a:xfrm>
      </xdr:grpSpPr>
      <xdr:pic>
        <xdr:nvPicPr>
          <xdr:cNvPr id="2" name="Picture 2">
            <a:extLst>
              <a:ext uri="{FF2B5EF4-FFF2-40B4-BE49-F238E27FC236}">
                <a16:creationId xmlns:a16="http://schemas.microsoft.com/office/drawing/2014/main" id="{7036F1B0-4153-622A-E077-6A31E4F0306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800"/>
          <a:stretch/>
        </xdr:blipFill>
        <xdr:spPr bwMode="auto">
          <a:xfrm>
            <a:off x="2134574" y="2356199"/>
            <a:ext cx="2001059" cy="1628775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</xdr:spPr>
      </xdr:pic>
      <xdr:pic>
        <xdr:nvPicPr>
          <xdr:cNvPr id="3" name="Picture 4">
            <a:extLst>
              <a:ext uri="{FF2B5EF4-FFF2-40B4-BE49-F238E27FC236}">
                <a16:creationId xmlns:a16="http://schemas.microsoft.com/office/drawing/2014/main" id="{45031237-7841-CE77-5994-F2978DDC5EF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7238"/>
          <a:stretch/>
        </xdr:blipFill>
        <xdr:spPr bwMode="auto">
          <a:xfrm>
            <a:off x="5260863" y="2356198"/>
            <a:ext cx="1963591" cy="1628775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</xdr:spPr>
      </xdr:pic>
      <xdr:pic>
        <xdr:nvPicPr>
          <xdr:cNvPr id="4" name="Picture 6">
            <a:extLst>
              <a:ext uri="{FF2B5EF4-FFF2-40B4-BE49-F238E27FC236}">
                <a16:creationId xmlns:a16="http://schemas.microsoft.com/office/drawing/2014/main" id="{604BFA81-D9B9-51BB-0BD7-B095300865C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60"/>
          <a:stretch/>
        </xdr:blipFill>
        <xdr:spPr bwMode="auto">
          <a:xfrm>
            <a:off x="8387151" y="2356197"/>
            <a:ext cx="2003544" cy="1628775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</xdr:spPr>
      </xdr:pic>
      <xdr:sp macro="" textlink="">
        <xdr:nvSpPr>
          <xdr:cNvPr id="5" name="Espaço Reservado para Texto 5">
            <a:extLst>
              <a:ext uri="{FF2B5EF4-FFF2-40B4-BE49-F238E27FC236}">
                <a16:creationId xmlns:a16="http://schemas.microsoft.com/office/drawing/2014/main" id="{7576C778-8E66-62D8-CD81-B1FB5576F75A}"/>
              </a:ext>
            </a:extLst>
          </xdr:cNvPr>
          <xdr:cNvSpPr txBox="1">
            <a:spLocks/>
          </xdr:cNvSpPr>
        </xdr:nvSpPr>
        <xdr:spPr>
          <a:xfrm>
            <a:off x="1994806" y="1859092"/>
            <a:ext cx="2352308" cy="396733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txBody>
          <a:bodyPr vert="horz" wrap="square" lIns="126000" tIns="93600" rIns="126000" bIns="90000" rtlCol="0" anchor="ctr" anchorCtr="0"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solidFill>
                  <a:srgbClr val="1E3E5E"/>
                </a:solidFill>
              </a:rPr>
              <a:t>ACO StormBrixx SD900</a:t>
            </a:r>
          </a:p>
        </xdr:txBody>
      </xdr:sp>
      <xdr:sp macro="" textlink="">
        <xdr:nvSpPr>
          <xdr:cNvPr id="6" name="Espaço Reservado para Texto 5">
            <a:extLst>
              <a:ext uri="{FF2B5EF4-FFF2-40B4-BE49-F238E27FC236}">
                <a16:creationId xmlns:a16="http://schemas.microsoft.com/office/drawing/2014/main" id="{7FDD7A2A-77F7-AAF8-1EF4-3BEECBF1EEC1}"/>
              </a:ext>
            </a:extLst>
          </xdr:cNvPr>
          <xdr:cNvSpPr txBox="1">
            <a:spLocks/>
          </xdr:cNvSpPr>
        </xdr:nvSpPr>
        <xdr:spPr>
          <a:xfrm>
            <a:off x="5057603" y="1859092"/>
            <a:ext cx="2393985" cy="396733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txBody>
          <a:bodyPr vert="horz" wrap="square" lIns="126000" tIns="93600" rIns="126000" bIns="90000" rtlCol="0" anchor="ctr" anchorCtr="0"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solidFill>
                  <a:srgbClr val="1E3E5E"/>
                </a:solidFill>
              </a:rPr>
              <a:t>ACO StormBrixx HD600</a:t>
            </a:r>
          </a:p>
        </xdr:txBody>
      </xdr:sp>
      <xdr:sp macro="" textlink="">
        <xdr:nvSpPr>
          <xdr:cNvPr id="7" name="Espaço Reservado para Texto 5">
            <a:extLst>
              <a:ext uri="{FF2B5EF4-FFF2-40B4-BE49-F238E27FC236}">
                <a16:creationId xmlns:a16="http://schemas.microsoft.com/office/drawing/2014/main" id="{CF423662-160B-B309-EB52-0390FEA55A4D}"/>
              </a:ext>
            </a:extLst>
          </xdr:cNvPr>
          <xdr:cNvSpPr txBox="1">
            <a:spLocks/>
          </xdr:cNvSpPr>
        </xdr:nvSpPr>
        <xdr:spPr>
          <a:xfrm>
            <a:off x="8093185" y="1859091"/>
            <a:ext cx="2393985" cy="396733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txBody>
          <a:bodyPr vert="horz" wrap="square" lIns="126000" tIns="93600" rIns="126000" bIns="90000" rtlCol="0" anchor="ctr" anchorCtr="0"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solidFill>
                  <a:srgbClr val="1E3E5E"/>
                </a:solidFill>
              </a:rPr>
              <a:t>ACO StormBrixx HD900</a:t>
            </a:r>
          </a:p>
        </xdr:txBody>
      </xdr:sp>
      <xdr:sp macro="" textlink="">
        <xdr:nvSpPr>
          <xdr:cNvPr id="8" name="Espaço Reservado para Texto 5">
            <a:extLst>
              <a:ext uri="{FF2B5EF4-FFF2-40B4-BE49-F238E27FC236}">
                <a16:creationId xmlns:a16="http://schemas.microsoft.com/office/drawing/2014/main" id="{A75FBA66-ED25-5948-A6B4-421B1A3EDF8A}"/>
              </a:ext>
            </a:extLst>
          </xdr:cNvPr>
          <xdr:cNvSpPr txBox="1">
            <a:spLocks/>
          </xdr:cNvSpPr>
        </xdr:nvSpPr>
        <xdr:spPr>
          <a:xfrm>
            <a:off x="5059771" y="1104414"/>
            <a:ext cx="2366734" cy="396733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txBody>
          <a:bodyPr vert="horz" wrap="square" lIns="126000" tIns="93600" rIns="126000" bIns="90000" rtlCol="0" anchor="ctr" anchorCtr="0"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solidFill>
                  <a:srgbClr val="1E3E5E"/>
                </a:solidFill>
              </a:rPr>
              <a:t>Família ACO StormBrixx</a:t>
            </a:r>
          </a:p>
        </xdr:txBody>
      </xdr:sp>
      <xdr:cxnSp macro="">
        <xdr:nvCxnSpPr>
          <xdr:cNvPr id="9" name="Conector: Angulado 8">
            <a:extLst>
              <a:ext uri="{FF2B5EF4-FFF2-40B4-BE49-F238E27FC236}">
                <a16:creationId xmlns:a16="http://schemas.microsoft.com/office/drawing/2014/main" id="{20FEC1CE-4FF5-88D4-1D07-C59E8632CB02}"/>
              </a:ext>
            </a:extLst>
          </xdr:cNvPr>
          <xdr:cNvCxnSpPr>
            <a:stCxn id="8" idx="3"/>
            <a:endCxn id="7" idx="0"/>
          </xdr:cNvCxnSpPr>
        </xdr:nvCxnSpPr>
        <xdr:spPr>
          <a:xfrm>
            <a:off x="7426505" y="1302781"/>
            <a:ext cx="1865033" cy="556310"/>
          </a:xfrm>
          <a:prstGeom prst="bentConnector2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4"/>
          </a:lnRef>
          <a:fillRef idx="0">
            <a:schemeClr val="accent4"/>
          </a:fillRef>
          <a:effectRef idx="0">
            <a:schemeClr val="accent4"/>
          </a:effectRef>
          <a:fontRef idx="minor">
            <a:schemeClr val="tx1"/>
          </a:fontRef>
        </xdr:style>
      </xdr:cxnSp>
      <xdr:cxnSp macro="">
        <xdr:nvCxnSpPr>
          <xdr:cNvPr id="10" name="Conector: Angulado 9">
            <a:extLst>
              <a:ext uri="{FF2B5EF4-FFF2-40B4-BE49-F238E27FC236}">
                <a16:creationId xmlns:a16="http://schemas.microsoft.com/office/drawing/2014/main" id="{1AA8563D-F41E-242A-6B8E-FD5F4A4DC66B}"/>
              </a:ext>
            </a:extLst>
          </xdr:cNvPr>
          <xdr:cNvCxnSpPr>
            <a:stCxn id="8" idx="1"/>
            <a:endCxn id="5" idx="0"/>
          </xdr:cNvCxnSpPr>
        </xdr:nvCxnSpPr>
        <xdr:spPr>
          <a:xfrm rot="10800000" flipV="1">
            <a:off x="3172321" y="1302780"/>
            <a:ext cx="1887450" cy="556311"/>
          </a:xfrm>
          <a:prstGeom prst="bentConnector2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4"/>
          </a:lnRef>
          <a:fillRef idx="0">
            <a:schemeClr val="accent4"/>
          </a:fillRef>
          <a:effectRef idx="0">
            <a:schemeClr val="accent4"/>
          </a:effectRef>
          <a:fontRef idx="minor">
            <a:schemeClr val="tx1"/>
          </a:fontRef>
        </xdr:style>
      </xdr:cxnSp>
      <xdr:cxnSp macro="">
        <xdr:nvCxnSpPr>
          <xdr:cNvPr id="11" name="Conector de Seta Reta 10">
            <a:extLst>
              <a:ext uri="{FF2B5EF4-FFF2-40B4-BE49-F238E27FC236}">
                <a16:creationId xmlns:a16="http://schemas.microsoft.com/office/drawing/2014/main" id="{5BD952D0-7613-AAC8-1B5F-83D29265D849}"/>
              </a:ext>
            </a:extLst>
          </xdr:cNvPr>
          <xdr:cNvCxnSpPr>
            <a:cxnSpLocks/>
            <a:stCxn id="8" idx="2"/>
            <a:endCxn id="6" idx="0"/>
          </xdr:cNvCxnSpPr>
        </xdr:nvCxnSpPr>
        <xdr:spPr>
          <a:xfrm>
            <a:off x="6244499" y="1501147"/>
            <a:ext cx="8736" cy="357945"/>
          </a:xfrm>
          <a:prstGeom prst="straightConnector1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4"/>
          </a:lnRef>
          <a:fillRef idx="0">
            <a:schemeClr val="accent4"/>
          </a:fillRef>
          <a:effectRef idx="0">
            <a:schemeClr val="accent4"/>
          </a:effectRef>
          <a:fontRef idx="minor">
            <a:schemeClr val="tx1"/>
          </a:fontRef>
        </xdr:style>
      </xdr:cxnSp>
      <xdr:sp macro="" textlink="">
        <xdr:nvSpPr>
          <xdr:cNvPr id="12" name="Rectangle 1">
            <a:extLst>
              <a:ext uri="{FF2B5EF4-FFF2-40B4-BE49-F238E27FC236}">
                <a16:creationId xmlns:a16="http://schemas.microsoft.com/office/drawing/2014/main" id="{6ABC3417-D058-4CF8-B762-F482CE5EB19F}"/>
              </a:ext>
            </a:extLst>
          </xdr:cNvPr>
          <xdr:cNvSpPr>
            <a:spLocks noChangeArrowheads="1"/>
          </xdr:cNvSpPr>
        </xdr:nvSpPr>
        <xdr:spPr bwMode="auto">
          <a:xfrm>
            <a:off x="1998560" y="4114051"/>
            <a:ext cx="2791952" cy="1696199"/>
          </a:xfrm>
          <a:prstGeom prst="rect">
            <a:avLst/>
          </a:prstGeom>
          <a:noFill/>
          <a:ln>
            <a:noFill/>
          </a:ln>
          <a:effectLst/>
        </xdr:spPr>
        <xdr:txBody>
          <a:bodyPr vert="horz" wrap="square" lIns="0" tIns="-9522" rIns="0" bIns="-9522" numCol="1" anchor="t" anchorCtr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Índice de vazios: 97%;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Altura: 914mm;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Resistência à compressão vertical: 350kN/m²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</a:t>
            </a: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esistência à compressão lateral: 70kN/m²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Recobrimento mínimo: 0,6m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Recobrimento máximo: 3,58m</a:t>
            </a:r>
          </a:p>
        </xdr:txBody>
      </xdr:sp>
      <xdr:sp macro="" textlink="">
        <xdr:nvSpPr>
          <xdr:cNvPr id="13" name="Rectangle 1">
            <a:extLst>
              <a:ext uri="{FF2B5EF4-FFF2-40B4-BE49-F238E27FC236}">
                <a16:creationId xmlns:a16="http://schemas.microsoft.com/office/drawing/2014/main" id="{5ABF6FD0-8608-EB6F-705D-FB1D00880824}"/>
              </a:ext>
            </a:extLst>
          </xdr:cNvPr>
          <xdr:cNvSpPr>
            <a:spLocks noChangeArrowheads="1"/>
          </xdr:cNvSpPr>
        </xdr:nvSpPr>
        <xdr:spPr bwMode="auto">
          <a:xfrm>
            <a:off x="5041308" y="4114050"/>
            <a:ext cx="2791951" cy="1777843"/>
          </a:xfrm>
          <a:prstGeom prst="rect">
            <a:avLst/>
          </a:prstGeom>
          <a:noFill/>
          <a:ln>
            <a:noFill/>
          </a:ln>
          <a:effectLst/>
        </xdr:spPr>
        <xdr:txBody>
          <a:bodyPr vert="horz" wrap="square" lIns="0" tIns="-9522" rIns="0" bIns="-9522" numCol="1" anchor="t" anchorCtr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Índice de vazios: 95%;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Altura: 612mm;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Resistência à compressão vertical: 455kN/m²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</a:t>
            </a: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esistência à compressão lateral: 95kN/m²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  <a:defRPr/>
            </a:pPr>
            <a:r>
              <a:rPr kumimoji="0" lang="pt-PT" altLang="pt-BR" sz="14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Recobrimento mínimo: 0,6m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  <a:defRPr/>
            </a:pPr>
            <a:r>
              <a:rPr kumimoji="0" lang="pt-PT" altLang="pt-BR" sz="14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Recobrimento máximo: 5,08m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endParaRPr kumimoji="0" lang="pt-PT" altLang="pt-BR" sz="1050" b="0" i="0" u="none" strike="noStrike" cap="none" normalizeH="0" baseline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4" name="Rectangle 1">
            <a:extLst>
              <a:ext uri="{FF2B5EF4-FFF2-40B4-BE49-F238E27FC236}">
                <a16:creationId xmlns:a16="http://schemas.microsoft.com/office/drawing/2014/main" id="{91FAC097-B993-5916-146E-F7408AB36289}"/>
              </a:ext>
            </a:extLst>
          </xdr:cNvPr>
          <xdr:cNvSpPr>
            <a:spLocks noChangeArrowheads="1"/>
          </xdr:cNvSpPr>
        </xdr:nvSpPr>
        <xdr:spPr bwMode="auto">
          <a:xfrm>
            <a:off x="8088563" y="4114050"/>
            <a:ext cx="2791951" cy="1764236"/>
          </a:xfrm>
          <a:prstGeom prst="rect">
            <a:avLst/>
          </a:prstGeom>
          <a:noFill/>
          <a:ln>
            <a:noFill/>
          </a:ln>
          <a:effectLst/>
        </xdr:spPr>
        <xdr:txBody>
          <a:bodyPr vert="horz" wrap="square" lIns="0" tIns="-9522" rIns="0" bIns="-9522" numCol="1" anchor="t" anchorCtr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Índice de vazios: 97%;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Altura: 920mm;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Resistência à compressão vertical: 605kN/m²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r>
              <a:rPr lang="pt-PT" altLang="pt-BR" sz="1400">
                <a:solidFill>
                  <a:schemeClr val="bg1"/>
                </a:solidFill>
              </a:rPr>
              <a:t>R</a:t>
            </a:r>
            <a:r>
              <a:rPr kumimoji="0" lang="pt-PT" altLang="pt-BR" sz="1400" b="0" i="0" u="none" strike="noStrike" cap="none" normalizeH="0" baseline="0">
                <a:ln>
                  <a:noFill/>
                </a:ln>
                <a:solidFill>
                  <a:schemeClr val="bg1"/>
                </a:solidFill>
                <a:effectLst/>
              </a:rPr>
              <a:t>esistência à compressão lateral: 120kN/m²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  <a:defRPr/>
            </a:pPr>
            <a:r>
              <a:rPr kumimoji="0" lang="pt-PT" altLang="pt-BR" sz="14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Recobrimento mínimo: 0,6m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  <a:defRPr/>
            </a:pPr>
            <a:r>
              <a:rPr kumimoji="0" lang="pt-PT" altLang="pt-BR" sz="14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Recobrimento máximo: 5,08m</a:t>
            </a:r>
          </a:p>
          <a:p>
            <a:pPr marL="171450" marR="0" lvl="0" indent="-171450" defTabSz="914400" rtl="0" eaLnBrk="0" fontAlgn="base" latinLnBrk="0" hangingPunct="0">
              <a:lnSpc>
                <a:spcPct val="15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 typeface="Arial" panose="020B0604020202020204" pitchFamily="34" charset="0"/>
              <a:buChar char="•"/>
              <a:tabLst/>
            </a:pPr>
            <a:endParaRPr kumimoji="0" lang="pt-PT" altLang="pt-BR" sz="1050" b="0" i="0" u="none" strike="noStrike" cap="none" normalizeH="0" baseline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209550</xdr:colOff>
      <xdr:row>1</xdr:row>
      <xdr:rowOff>0</xdr:rowOff>
    </xdr:from>
    <xdr:to>
      <xdr:col>2</xdr:col>
      <xdr:colOff>561104</xdr:colOff>
      <xdr:row>5</xdr:row>
      <xdr:rowOff>152215</xdr:rowOff>
    </xdr:to>
    <xdr:pic>
      <xdr:nvPicPr>
        <xdr:cNvPr id="27" name="Imagem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9DD8A4-1FD2-465B-A2BB-6B90DD6A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190500"/>
          <a:ext cx="1113554" cy="914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2</xdr:col>
      <xdr:colOff>542925</xdr:colOff>
      <xdr:row>21</xdr:row>
      <xdr:rowOff>180975</xdr:rowOff>
    </xdr:from>
    <xdr:to>
      <xdr:col>3</xdr:col>
      <xdr:colOff>485775</xdr:colOff>
      <xdr:row>24</xdr:row>
      <xdr:rowOff>85725</xdr:rowOff>
    </xdr:to>
    <xdr:sp macro="" textlink="">
      <xdr:nvSpPr>
        <xdr:cNvPr id="31" name="Seta: para a Esquerda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B001BB-9285-4051-7D9F-2A78AADB188C}"/>
            </a:ext>
          </a:extLst>
        </xdr:cNvPr>
        <xdr:cNvSpPr/>
      </xdr:nvSpPr>
      <xdr:spPr>
        <a:xfrm>
          <a:off x="1304925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47625</xdr:colOff>
      <xdr:row>21</xdr:row>
      <xdr:rowOff>180975</xdr:rowOff>
    </xdr:from>
    <xdr:to>
      <xdr:col>27</xdr:col>
      <xdr:colOff>600075</xdr:colOff>
      <xdr:row>24</xdr:row>
      <xdr:rowOff>85725</xdr:rowOff>
    </xdr:to>
    <xdr:sp macro="" textlink="">
      <xdr:nvSpPr>
        <xdr:cNvPr id="32" name="Seta: para a Esquerda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F472A8D-1E3D-4DAE-BE67-99172CCAAC20}"/>
            </a:ext>
          </a:extLst>
        </xdr:cNvPr>
        <xdr:cNvSpPr/>
      </xdr:nvSpPr>
      <xdr:spPr>
        <a:xfrm rot="10800000">
          <a:off x="16049625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288551</xdr:colOff>
      <xdr:row>0</xdr:row>
      <xdr:rowOff>96502</xdr:rowOff>
    </xdr:from>
    <xdr:to>
      <xdr:col>30</xdr:col>
      <xdr:colOff>170956</xdr:colOff>
      <xdr:row>2</xdr:row>
      <xdr:rowOff>32246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DD713330-DF7F-480F-9F56-05479C774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475" b="89831" l="9524" r="94048">
                      <a14:foregroundMark x1="72024" y1="55932" x2="78571" y2="50847"/>
                      <a14:foregroundMark x1="66667" y1="38983" x2="69048" y2="66102"/>
                      <a14:foregroundMark x1="89881" y1="35593" x2="94048" y2="81356"/>
                      <a14:foregroundMark x1="84524" y1="44068" x2="80357" y2="74576"/>
                      <a14:foregroundMark x1="91071" y1="35593" x2="84524" y2="81356"/>
                    </a14:backgroundRemoval>
                  </a14:imgEffect>
                </a14:imgLayer>
              </a14:imgProps>
            </a:ext>
          </a:extLst>
        </a:blip>
        <a:srcRect l="45708"/>
        <a:stretch/>
      </xdr:blipFill>
      <xdr:spPr>
        <a:xfrm>
          <a:off x="17509751" y="96502"/>
          <a:ext cx="492005" cy="316744"/>
        </a:xfrm>
        <a:prstGeom prst="rect">
          <a:avLst/>
        </a:prstGeom>
      </xdr:spPr>
    </xdr:pic>
    <xdr:clientData/>
  </xdr:twoCellAnchor>
  <xdr:twoCellAnchor>
    <xdr:from>
      <xdr:col>28</xdr:col>
      <xdr:colOff>581025</xdr:colOff>
      <xdr:row>0</xdr:row>
      <xdr:rowOff>95250</xdr:rowOff>
    </xdr:from>
    <xdr:to>
      <xdr:col>29</xdr:col>
      <xdr:colOff>277141</xdr:colOff>
      <xdr:row>2</xdr:row>
      <xdr:rowOff>32246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AB4C35DD-C07F-409A-B156-78FB1D7E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92625" y="95250"/>
          <a:ext cx="305716" cy="317996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104775</xdr:colOff>
      <xdr:row>27</xdr:row>
      <xdr:rowOff>114300</xdr:rowOff>
    </xdr:from>
    <xdr:to>
      <xdr:col>31</xdr:col>
      <xdr:colOff>457200</xdr:colOff>
      <xdr:row>50</xdr:row>
      <xdr:rowOff>133349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D5E5102-5CD3-414C-ABE5-6B12FF0FE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alphaModFix amt="5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68" t="10638"/>
        <a:stretch/>
      </xdr:blipFill>
      <xdr:spPr>
        <a:xfrm>
          <a:off x="14887575" y="5257800"/>
          <a:ext cx="4010025" cy="440054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9525</xdr:colOff>
      <xdr:row>25</xdr:row>
      <xdr:rowOff>171450</xdr:rowOff>
    </xdr:from>
    <xdr:to>
      <xdr:col>6</xdr:col>
      <xdr:colOff>495300</xdr:colOff>
      <xdr:row>57</xdr:row>
      <xdr:rowOff>38101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F55AB403-F8AC-49A3-941C-DDC566667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alphaModFix amt="5000"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9857" b="98694" l="8725" r="89933">
                      <a14:foregroundMark x1="41275" y1="32542" x2="48826" y2="25534"/>
                      <a14:foregroundMark x1="48826" y1="25534" x2="47819" y2="18171"/>
                      <a14:foregroundMark x1="47819" y1="18171" x2="59060" y2="21259"/>
                      <a14:foregroundMark x1="59060" y1="21259" x2="45134" y2="16746"/>
                      <a14:foregroundMark x1="45134" y1="16746" x2="34396" y2="30048"/>
                      <a14:foregroundMark x1="34396" y1="30048" x2="23993" y2="28622"/>
                      <a14:foregroundMark x1="23993" y1="28622" x2="24329" y2="19477"/>
                      <a14:foregroundMark x1="24329" y1="19477" x2="29027" y2="26722"/>
                      <a14:foregroundMark x1="29027" y1="26722" x2="38591" y2="28266"/>
                      <a14:foregroundMark x1="38591" y1="28266" x2="28523" y2="21853"/>
                      <a14:foregroundMark x1="28523" y1="21853" x2="32718" y2="13777"/>
                      <a14:foregroundMark x1="32718" y1="13777" x2="53859" y2="15083"/>
                      <a14:foregroundMark x1="53859" y1="15083" x2="25503" y2="17458"/>
                      <a14:foregroundMark x1="25503" y1="17458" x2="34060" y2="12470"/>
                      <a14:foregroundMark x1="34060" y1="12470" x2="25671" y2="19715"/>
                      <a14:foregroundMark x1="10235" y1="33492" x2="8725" y2="30166"/>
                      <a14:foregroundMark x1="19799" y1="21615" x2="19799" y2="27791"/>
                      <a14:foregroundMark x1="19799" y1="20546" x2="19799" y2="21615"/>
                      <a14:foregroundMark x1="19799" y1="27791" x2="19631" y2="27791"/>
                      <a14:foregroundMark x1="42114" y1="88717" x2="41779" y2="98694"/>
                      <a14:foregroundMark x1="65436" y1="55938" x2="65436" y2="55938"/>
                      <a14:foregroundMark x1="65772" y1="56176" x2="65772" y2="56176"/>
                      <a14:foregroundMark x1="65436" y1="56057" x2="65268" y2="56176"/>
                      <a14:foregroundMark x1="66611" y1="63895" x2="66611" y2="63895"/>
                      <a14:foregroundMark x1="26678" y1="48100" x2="26678" y2="48100"/>
                      <a14:foregroundMark x1="69631" y1="45606" x2="69631" y2="45606"/>
                      <a14:backgroundMark x1="12584" y1="21853" x2="12584" y2="21853"/>
                      <a14:backgroundMark x1="17282" y1="21615" x2="17282" y2="21615"/>
                      <a14:backgroundMark x1="11745" y1="25059" x2="11745" y2="25059"/>
                      <a14:backgroundMark x1="68960" y1="49287" x2="68960" y2="49287"/>
                      <a14:backgroundMark x1="68960" y1="50594" x2="68960" y2="50594"/>
                      <a14:backgroundMark x1="69295" y1="60333" x2="69295" y2="60333"/>
                      <a14:backgroundMark x1="70470" y1="71378" x2="70470" y2="71378"/>
                      <a14:backgroundMark x1="67785" y1="48575" x2="67785" y2="48575"/>
                      <a14:backgroundMark x1="68792" y1="48575" x2="68960" y2="48575"/>
                      <a14:backgroundMark x1="66443" y1="50950" x2="66443" y2="50950"/>
                      <a14:backgroundMark x1="68121" y1="50475" x2="68121" y2="50475"/>
                      <a14:backgroundMark x1="68792" y1="48812" x2="68792" y2="48812"/>
                      <a14:backgroundMark x1="68624" y1="48219" x2="68624" y2="48219"/>
                    </a14:backgroundRemoval>
                  </a14:imgEffect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538" r="26107"/>
        <a:stretch/>
      </xdr:blipFill>
      <xdr:spPr>
        <a:xfrm>
          <a:off x="9525" y="4933950"/>
          <a:ext cx="3686175" cy="5962651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457200</xdr:rowOff>
    </xdr:from>
    <xdr:to>
      <xdr:col>3</xdr:col>
      <xdr:colOff>9525</xdr:colOff>
      <xdr:row>17</xdr:row>
      <xdr:rowOff>361950</xdr:rowOff>
    </xdr:to>
    <xdr:sp macro="" textlink="">
      <xdr:nvSpPr>
        <xdr:cNvPr id="9" name="Seta: para a Esqu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84110-1005-1F28-3380-66EE572DBF61}"/>
            </a:ext>
          </a:extLst>
        </xdr:cNvPr>
        <xdr:cNvSpPr/>
      </xdr:nvSpPr>
      <xdr:spPr>
        <a:xfrm>
          <a:off x="1285875" y="4191000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190500</xdr:colOff>
      <xdr:row>16</xdr:row>
      <xdr:rowOff>457200</xdr:rowOff>
    </xdr:from>
    <xdr:to>
      <xdr:col>27</xdr:col>
      <xdr:colOff>133350</xdr:colOff>
      <xdr:row>17</xdr:row>
      <xdr:rowOff>361950</xdr:rowOff>
    </xdr:to>
    <xdr:sp macro="" textlink="">
      <xdr:nvSpPr>
        <xdr:cNvPr id="10" name="Seta: para a Esquerda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CFF84E-6569-C6CE-9380-1A5A9C5F1906}"/>
            </a:ext>
          </a:extLst>
        </xdr:cNvPr>
        <xdr:cNvSpPr/>
      </xdr:nvSpPr>
      <xdr:spPr>
        <a:xfrm rot="10800000">
          <a:off x="16040100" y="4191000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304800</xdr:colOff>
      <xdr:row>1</xdr:row>
      <xdr:rowOff>152400</xdr:rowOff>
    </xdr:from>
    <xdr:to>
      <xdr:col>28</xdr:col>
      <xdr:colOff>295369</xdr:colOff>
      <xdr:row>9</xdr:row>
      <xdr:rowOff>0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71D0E0EB-4CDC-45D6-BD40-F817101E258E}"/>
            </a:ext>
          </a:extLst>
        </xdr:cNvPr>
        <xdr:cNvSpPr/>
      </xdr:nvSpPr>
      <xdr:spPr>
        <a:xfrm>
          <a:off x="914400" y="342900"/>
          <a:ext cx="16449769" cy="16383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5400" b="1" baseline="0"/>
            <a:t>Pré-Dimensionamento</a:t>
          </a:r>
        </a:p>
        <a:p>
          <a:pPr algn="ctr"/>
          <a:endParaRPr lang="pt-BR" sz="4000" b="1" baseline="0"/>
        </a:p>
      </xdr:txBody>
    </xdr:sp>
    <xdr:clientData/>
  </xdr:twoCellAnchor>
  <xdr:twoCellAnchor>
    <xdr:from>
      <xdr:col>0</xdr:col>
      <xdr:colOff>219075</xdr:colOff>
      <xdr:row>1</xdr:row>
      <xdr:rowOff>0</xdr:rowOff>
    </xdr:from>
    <xdr:to>
      <xdr:col>2</xdr:col>
      <xdr:colOff>113429</xdr:colOff>
      <xdr:row>5</xdr:row>
      <xdr:rowOff>152215</xdr:rowOff>
    </xdr:to>
    <xdr:pic>
      <xdr:nvPicPr>
        <xdr:cNvPr id="12" name="Imagem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D35283-7EDE-4964-956B-0411ED81E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" y="190500"/>
          <a:ext cx="1113554" cy="914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10</xdr:col>
      <xdr:colOff>352425</xdr:colOff>
      <xdr:row>21</xdr:row>
      <xdr:rowOff>142875</xdr:rowOff>
    </xdr:from>
    <xdr:to>
      <xdr:col>19</xdr:col>
      <xdr:colOff>257175</xdr:colOff>
      <xdr:row>28</xdr:row>
      <xdr:rowOff>57150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75AEB651-1B37-2858-EAB3-0C1671F77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02" b="33967"/>
        <a:stretch/>
      </xdr:blipFill>
      <xdr:spPr>
        <a:xfrm>
          <a:off x="6448425" y="6305550"/>
          <a:ext cx="5391150" cy="1247775"/>
        </a:xfrm>
        <a:prstGeom prst="rect">
          <a:avLst/>
        </a:prstGeom>
      </xdr:spPr>
    </xdr:pic>
    <xdr:clientData/>
  </xdr:twoCellAnchor>
  <xdr:twoCellAnchor editAs="oneCell">
    <xdr:from>
      <xdr:col>24</xdr:col>
      <xdr:colOff>257175</xdr:colOff>
      <xdr:row>18</xdr:row>
      <xdr:rowOff>219075</xdr:rowOff>
    </xdr:from>
    <xdr:to>
      <xdr:col>30</xdr:col>
      <xdr:colOff>600075</xdr:colOff>
      <xdr:row>39</xdr:row>
      <xdr:rowOff>76199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53BF5A7-A7E5-4A7E-9291-50D39FC73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alphaModFix amt="5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62" t="10638"/>
        <a:stretch/>
      </xdr:blipFill>
      <xdr:spPr>
        <a:xfrm>
          <a:off x="14887575" y="5257800"/>
          <a:ext cx="4000500" cy="440054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0</xdr:colOff>
      <xdr:row>17</xdr:row>
      <xdr:rowOff>638175</xdr:rowOff>
    </xdr:from>
    <xdr:to>
      <xdr:col>6</xdr:col>
      <xdr:colOff>28575</xdr:colOff>
      <xdr:row>45</xdr:row>
      <xdr:rowOff>180976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3A4F696-78F3-4108-B7CD-359A0DF3D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alphaModFix amt="5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857" b="98694" l="8725" r="89933">
                      <a14:foregroundMark x1="41275" y1="32542" x2="48826" y2="25534"/>
                      <a14:foregroundMark x1="48826" y1="25534" x2="47819" y2="18171"/>
                      <a14:foregroundMark x1="47819" y1="18171" x2="59060" y2="21259"/>
                      <a14:foregroundMark x1="59060" y1="21259" x2="45134" y2="16746"/>
                      <a14:foregroundMark x1="45134" y1="16746" x2="34396" y2="30048"/>
                      <a14:foregroundMark x1="34396" y1="30048" x2="23993" y2="28622"/>
                      <a14:foregroundMark x1="23993" y1="28622" x2="24329" y2="19477"/>
                      <a14:foregroundMark x1="24329" y1="19477" x2="29027" y2="26722"/>
                      <a14:foregroundMark x1="29027" y1="26722" x2="38591" y2="28266"/>
                      <a14:foregroundMark x1="38591" y1="28266" x2="28523" y2="21853"/>
                      <a14:foregroundMark x1="28523" y1="21853" x2="32718" y2="13777"/>
                      <a14:foregroundMark x1="32718" y1="13777" x2="53859" y2="15083"/>
                      <a14:foregroundMark x1="53859" y1="15083" x2="25503" y2="17458"/>
                      <a14:foregroundMark x1="25503" y1="17458" x2="34060" y2="12470"/>
                      <a14:foregroundMark x1="34060" y1="12470" x2="25671" y2="19715"/>
                      <a14:foregroundMark x1="10235" y1="33492" x2="8725" y2="30166"/>
                      <a14:foregroundMark x1="19799" y1="21615" x2="19799" y2="27791"/>
                      <a14:foregroundMark x1="19799" y1="20546" x2="19799" y2="21615"/>
                      <a14:foregroundMark x1="19799" y1="27791" x2="19631" y2="27791"/>
                      <a14:foregroundMark x1="42114" y1="88717" x2="41779" y2="98694"/>
                      <a14:foregroundMark x1="65436" y1="55938" x2="65436" y2="55938"/>
                      <a14:foregroundMark x1="65772" y1="56176" x2="65772" y2="56176"/>
                      <a14:foregroundMark x1="65436" y1="56057" x2="65268" y2="56176"/>
                      <a14:foregroundMark x1="66611" y1="63895" x2="66611" y2="63895"/>
                      <a14:foregroundMark x1="26678" y1="48100" x2="26678" y2="48100"/>
                      <a14:foregroundMark x1="69631" y1="45606" x2="69631" y2="45606"/>
                      <a14:backgroundMark x1="12584" y1="21853" x2="12584" y2="21853"/>
                      <a14:backgroundMark x1="17282" y1="21615" x2="17282" y2="21615"/>
                      <a14:backgroundMark x1="11745" y1="25059" x2="11745" y2="25059"/>
                      <a14:backgroundMark x1="68960" y1="49287" x2="68960" y2="49287"/>
                      <a14:backgroundMark x1="68960" y1="50594" x2="68960" y2="50594"/>
                      <a14:backgroundMark x1="69295" y1="60333" x2="69295" y2="60333"/>
                      <a14:backgroundMark x1="70470" y1="71378" x2="70470" y2="71378"/>
                      <a14:backgroundMark x1="67785" y1="48575" x2="67785" y2="48575"/>
                      <a14:backgroundMark x1="68792" y1="48575" x2="68960" y2="48575"/>
                      <a14:backgroundMark x1="66443" y1="50950" x2="66443" y2="50950"/>
                      <a14:backgroundMark x1="68121" y1="50475" x2="68121" y2="50475"/>
                      <a14:backgroundMark x1="68792" y1="48812" x2="68792" y2="48812"/>
                      <a14:backgroundMark x1="68624" y1="48219" x2="68624" y2="48219"/>
                    </a14:backgroundRemoval>
                  </a14:imgEffect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538" r="26107"/>
        <a:stretch/>
      </xdr:blipFill>
      <xdr:spPr>
        <a:xfrm>
          <a:off x="0" y="4943475"/>
          <a:ext cx="3686175" cy="5962651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1</xdr:row>
      <xdr:rowOff>142875</xdr:rowOff>
    </xdr:from>
    <xdr:to>
      <xdr:col>28</xdr:col>
      <xdr:colOff>295369</xdr:colOff>
      <xdr:row>8</xdr:row>
      <xdr:rowOff>180975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DA0FCEF3-8FF8-48CF-AB5B-76C7C5362F60}"/>
            </a:ext>
          </a:extLst>
        </xdr:cNvPr>
        <xdr:cNvSpPr/>
      </xdr:nvSpPr>
      <xdr:spPr>
        <a:xfrm>
          <a:off x="914400" y="333375"/>
          <a:ext cx="16449769" cy="13716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5400" b="1" baseline="0"/>
            <a:t>Dimensionamento</a:t>
          </a:r>
        </a:p>
        <a:p>
          <a:pPr algn="ctr"/>
          <a:endParaRPr lang="pt-BR" sz="4000" b="1" baseline="0"/>
        </a:p>
      </xdr:txBody>
    </xdr:sp>
    <xdr:clientData/>
  </xdr:twoCellAnchor>
  <xdr:twoCellAnchor>
    <xdr:from>
      <xdr:col>12</xdr:col>
      <xdr:colOff>447675</xdr:colOff>
      <xdr:row>60</xdr:row>
      <xdr:rowOff>19050</xdr:rowOff>
    </xdr:from>
    <xdr:to>
      <xdr:col>17</xdr:col>
      <xdr:colOff>314325</xdr:colOff>
      <xdr:row>62</xdr:row>
      <xdr:rowOff>142875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DF838-E18B-4E1C-B0E7-951B3A74244C}"/>
            </a:ext>
          </a:extLst>
        </xdr:cNvPr>
        <xdr:cNvSpPr/>
      </xdr:nvSpPr>
      <xdr:spPr>
        <a:xfrm>
          <a:off x="7762875" y="12468225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Gerar</a:t>
          </a:r>
          <a:r>
            <a:rPr lang="pt-BR" sz="2000" b="1" baseline="0">
              <a:solidFill>
                <a:srgbClr val="1E3E5E"/>
              </a:solidFill>
            </a:rPr>
            <a:t> Relatório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>
    <xdr:from>
      <xdr:col>2</xdr:col>
      <xdr:colOff>57150</xdr:colOff>
      <xdr:row>21</xdr:row>
      <xdr:rowOff>57150</xdr:rowOff>
    </xdr:from>
    <xdr:to>
      <xdr:col>3</xdr:col>
      <xdr:colOff>0</xdr:colOff>
      <xdr:row>23</xdr:row>
      <xdr:rowOff>133350</xdr:rowOff>
    </xdr:to>
    <xdr:sp macro="" textlink="">
      <xdr:nvSpPr>
        <xdr:cNvPr id="4" name="Seta: para a Esqu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0C942-25F9-46CD-983B-8B57F5399837}"/>
            </a:ext>
          </a:extLst>
        </xdr:cNvPr>
        <xdr:cNvSpPr/>
      </xdr:nvSpPr>
      <xdr:spPr>
        <a:xfrm>
          <a:off x="1276350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180975</xdr:colOff>
      <xdr:row>21</xdr:row>
      <xdr:rowOff>57150</xdr:rowOff>
    </xdr:from>
    <xdr:to>
      <xdr:col>27</xdr:col>
      <xdr:colOff>123825</xdr:colOff>
      <xdr:row>23</xdr:row>
      <xdr:rowOff>133350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07BE13-07EE-41AD-8EA9-41A51E068E34}"/>
            </a:ext>
          </a:extLst>
        </xdr:cNvPr>
        <xdr:cNvSpPr/>
      </xdr:nvSpPr>
      <xdr:spPr>
        <a:xfrm rot="10800000">
          <a:off x="16030575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10</xdr:col>
      <xdr:colOff>400050</xdr:colOff>
      <xdr:row>65</xdr:row>
      <xdr:rowOff>180975</xdr:rowOff>
    </xdr:from>
    <xdr:to>
      <xdr:col>19</xdr:col>
      <xdr:colOff>304800</xdr:colOff>
      <xdr:row>72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8C72CC6-B023-469B-AE33-F7D7F4E7E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02" b="33967"/>
        <a:stretch/>
      </xdr:blipFill>
      <xdr:spPr>
        <a:xfrm>
          <a:off x="6496050" y="13582650"/>
          <a:ext cx="5391150" cy="12477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</xdr:row>
      <xdr:rowOff>9525</xdr:rowOff>
    </xdr:from>
    <xdr:to>
      <xdr:col>2</xdr:col>
      <xdr:colOff>113429</xdr:colOff>
      <xdr:row>5</xdr:row>
      <xdr:rowOff>161740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C78457-2BDE-4041-899F-BFDBB9EB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0025"/>
          <a:ext cx="1113554" cy="914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152400</xdr:rowOff>
    </xdr:from>
    <xdr:to>
      <xdr:col>8</xdr:col>
      <xdr:colOff>111728</xdr:colOff>
      <xdr:row>53</xdr:row>
      <xdr:rowOff>152401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FE6BA8C-5F43-42EE-99A5-D9F74F58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 amt="5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857" b="98694" l="8725" r="89933">
                      <a14:foregroundMark x1="41275" y1="32542" x2="48826" y2="25534"/>
                      <a14:foregroundMark x1="48826" y1="25534" x2="47819" y2="18171"/>
                      <a14:foregroundMark x1="47819" y1="18171" x2="59060" y2="21259"/>
                      <a14:foregroundMark x1="59060" y1="21259" x2="45134" y2="16746"/>
                      <a14:foregroundMark x1="45134" y1="16746" x2="34396" y2="30048"/>
                      <a14:foregroundMark x1="34396" y1="30048" x2="23993" y2="28622"/>
                      <a14:foregroundMark x1="23993" y1="28622" x2="24329" y2="19477"/>
                      <a14:foregroundMark x1="24329" y1="19477" x2="29027" y2="26722"/>
                      <a14:foregroundMark x1="29027" y1="26722" x2="38591" y2="28266"/>
                      <a14:foregroundMark x1="38591" y1="28266" x2="28523" y2="21853"/>
                      <a14:foregroundMark x1="28523" y1="21853" x2="32718" y2="13777"/>
                      <a14:foregroundMark x1="32718" y1="13777" x2="53859" y2="15083"/>
                      <a14:foregroundMark x1="53859" y1="15083" x2="25503" y2="17458"/>
                      <a14:foregroundMark x1="25503" y1="17458" x2="34060" y2="12470"/>
                      <a14:foregroundMark x1="34060" y1="12470" x2="25671" y2="19715"/>
                      <a14:foregroundMark x1="10235" y1="33492" x2="8725" y2="30166"/>
                      <a14:foregroundMark x1="19799" y1="21615" x2="19799" y2="27791"/>
                      <a14:foregroundMark x1="19799" y1="20546" x2="19799" y2="21615"/>
                      <a14:foregroundMark x1="19799" y1="27791" x2="19631" y2="27791"/>
                      <a14:foregroundMark x1="42114" y1="88717" x2="41779" y2="98694"/>
                      <a14:foregroundMark x1="65436" y1="55938" x2="65436" y2="55938"/>
                      <a14:foregroundMark x1="65772" y1="56176" x2="65772" y2="56176"/>
                      <a14:foregroundMark x1="65436" y1="56057" x2="65268" y2="56176"/>
                      <a14:foregroundMark x1="66611" y1="63895" x2="66611" y2="63895"/>
                      <a14:foregroundMark x1="26678" y1="48100" x2="26678" y2="48100"/>
                      <a14:foregroundMark x1="69631" y1="45606" x2="69631" y2="45606"/>
                      <a14:backgroundMark x1="12584" y1="21853" x2="12584" y2="21853"/>
                      <a14:backgroundMark x1="17282" y1="21615" x2="17282" y2="21615"/>
                      <a14:backgroundMark x1="11745" y1="25059" x2="11745" y2="25059"/>
                      <a14:backgroundMark x1="68960" y1="49287" x2="68960" y2="49287"/>
                      <a14:backgroundMark x1="68960" y1="50594" x2="68960" y2="50594"/>
                      <a14:backgroundMark x1="69295" y1="60333" x2="69295" y2="60333"/>
                      <a14:backgroundMark x1="70470" y1="71378" x2="70470" y2="71378"/>
                      <a14:backgroundMark x1="67785" y1="48575" x2="67785" y2="48575"/>
                      <a14:backgroundMark x1="68792" y1="48575" x2="68960" y2="48575"/>
                      <a14:backgroundMark x1="66443" y1="50950" x2="66443" y2="50950"/>
                      <a14:backgroundMark x1="68121" y1="50475" x2="68121" y2="50475"/>
                      <a14:backgroundMark x1="68792" y1="48812" x2="68792" y2="48812"/>
                      <a14:backgroundMark x1="68624" y1="48219" x2="68624" y2="48219"/>
                    </a14:backgroundRemoval>
                  </a14:imgEffect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9375"/>
          <a:ext cx="4988528" cy="6591301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23</xdr:col>
      <xdr:colOff>161925</xdr:colOff>
      <xdr:row>38</xdr:row>
      <xdr:rowOff>342899</xdr:rowOff>
    </xdr:from>
    <xdr:to>
      <xdr:col>36</xdr:col>
      <xdr:colOff>9525</xdr:colOff>
      <xdr:row>53</xdr:row>
      <xdr:rowOff>342900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33633573-97E2-4209-9010-EDBFFBEA8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alphaModFix amt="5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123" b="20465"/>
        <a:stretch/>
      </xdr:blipFill>
      <xdr:spPr>
        <a:xfrm>
          <a:off x="14182725" y="8982074"/>
          <a:ext cx="7772400" cy="42291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89</xdr:row>
      <xdr:rowOff>76200</xdr:rowOff>
    </xdr:from>
    <xdr:to>
      <xdr:col>8</xdr:col>
      <xdr:colOff>111728</xdr:colOff>
      <xdr:row>124</xdr:row>
      <xdr:rowOff>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1657D9F-E778-D20A-4B7E-2B771ADF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857" b="98694" l="8725" r="89933">
                      <a14:foregroundMark x1="41275" y1="32542" x2="48826" y2="25534"/>
                      <a14:foregroundMark x1="48826" y1="25534" x2="47819" y2="18171"/>
                      <a14:foregroundMark x1="47819" y1="18171" x2="59060" y2="21259"/>
                      <a14:foregroundMark x1="59060" y1="21259" x2="45134" y2="16746"/>
                      <a14:foregroundMark x1="45134" y1="16746" x2="34396" y2="30048"/>
                      <a14:foregroundMark x1="34396" y1="30048" x2="23993" y2="28622"/>
                      <a14:foregroundMark x1="23993" y1="28622" x2="24329" y2="19477"/>
                      <a14:foregroundMark x1="24329" y1="19477" x2="29027" y2="26722"/>
                      <a14:foregroundMark x1="29027" y1="26722" x2="38591" y2="28266"/>
                      <a14:foregroundMark x1="38591" y1="28266" x2="28523" y2="21853"/>
                      <a14:foregroundMark x1="28523" y1="21853" x2="32718" y2="13777"/>
                      <a14:foregroundMark x1="32718" y1="13777" x2="53859" y2="15083"/>
                      <a14:foregroundMark x1="53859" y1="15083" x2="25503" y2="17458"/>
                      <a14:foregroundMark x1="25503" y1="17458" x2="34060" y2="12470"/>
                      <a14:foregroundMark x1="34060" y1="12470" x2="25671" y2="19715"/>
                      <a14:foregroundMark x1="10235" y1="33492" x2="8725" y2="30166"/>
                      <a14:foregroundMark x1="19799" y1="21615" x2="19799" y2="27791"/>
                      <a14:foregroundMark x1="19799" y1="20546" x2="19799" y2="21615"/>
                      <a14:foregroundMark x1="19799" y1="27791" x2="19631" y2="27791"/>
                      <a14:foregroundMark x1="42114" y1="88717" x2="41779" y2="98694"/>
                      <a14:foregroundMark x1="65436" y1="55938" x2="65436" y2="55938"/>
                      <a14:foregroundMark x1="65772" y1="56176" x2="65772" y2="56176"/>
                      <a14:foregroundMark x1="65436" y1="56057" x2="65268" y2="56176"/>
                      <a14:foregroundMark x1="66611" y1="63895" x2="66611" y2="63895"/>
                      <a14:foregroundMark x1="26678" y1="48100" x2="26678" y2="48100"/>
                      <a14:foregroundMark x1="69631" y1="45606" x2="69631" y2="45606"/>
                      <a14:backgroundMark x1="12584" y1="21853" x2="12584" y2="21853"/>
                      <a14:backgroundMark x1="17282" y1="21615" x2="17282" y2="21615"/>
                      <a14:backgroundMark x1="11745" y1="25059" x2="11745" y2="25059"/>
                      <a14:backgroundMark x1="68960" y1="49287" x2="68960" y2="49287"/>
                      <a14:backgroundMark x1="68960" y1="50594" x2="68960" y2="50594"/>
                      <a14:backgroundMark x1="69295" y1="60333" x2="69295" y2="60333"/>
                      <a14:backgroundMark x1="70470" y1="71378" x2="70470" y2="71378"/>
                      <a14:backgroundMark x1="67785" y1="48575" x2="67785" y2="48575"/>
                      <a14:backgroundMark x1="68792" y1="48575" x2="68960" y2="48575"/>
                      <a14:backgroundMark x1="66443" y1="50950" x2="66443" y2="50950"/>
                      <a14:backgroundMark x1="68121" y1="50475" x2="68121" y2="50475"/>
                      <a14:backgroundMark x1="68792" y1="48812" x2="68792" y2="48812"/>
                      <a14:backgroundMark x1="68624" y1="48219" x2="68624" y2="48219"/>
                    </a14:backgroundRemoval>
                  </a14:imgEffect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78225"/>
          <a:ext cx="4988528" cy="6591301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  <xdr:twoCellAnchor>
    <xdr:from>
      <xdr:col>2</xdr:col>
      <xdr:colOff>57150</xdr:colOff>
      <xdr:row>21</xdr:row>
      <xdr:rowOff>66675</xdr:rowOff>
    </xdr:from>
    <xdr:to>
      <xdr:col>3</xdr:col>
      <xdr:colOff>0</xdr:colOff>
      <xdr:row>23</xdr:row>
      <xdr:rowOff>161925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07A942-F45D-4C99-A1AA-263BE6C49275}"/>
            </a:ext>
          </a:extLst>
        </xdr:cNvPr>
        <xdr:cNvSpPr/>
      </xdr:nvSpPr>
      <xdr:spPr>
        <a:xfrm>
          <a:off x="1276350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180975</xdr:colOff>
      <xdr:row>21</xdr:row>
      <xdr:rowOff>66675</xdr:rowOff>
    </xdr:from>
    <xdr:to>
      <xdr:col>27</xdr:col>
      <xdr:colOff>123825</xdr:colOff>
      <xdr:row>23</xdr:row>
      <xdr:rowOff>161925</xdr:rowOff>
    </xdr:to>
    <xdr:sp macro="" textlink="">
      <xdr:nvSpPr>
        <xdr:cNvPr id="3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9A5782-4CDC-4B61-A137-774E1DA92F35}"/>
            </a:ext>
          </a:extLst>
        </xdr:cNvPr>
        <xdr:cNvSpPr/>
      </xdr:nvSpPr>
      <xdr:spPr>
        <a:xfrm rot="10800000">
          <a:off x="16030575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228600</xdr:colOff>
      <xdr:row>1</xdr:row>
      <xdr:rowOff>9525</xdr:rowOff>
    </xdr:from>
    <xdr:to>
      <xdr:col>2</xdr:col>
      <xdr:colOff>122954</xdr:colOff>
      <xdr:row>5</xdr:row>
      <xdr:rowOff>161740</xdr:rowOff>
    </xdr:to>
    <xdr:pic>
      <xdr:nvPicPr>
        <xdr:cNvPr id="6" name="Imagem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2444657-3CAA-43E9-932F-99D01DBC5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" y="200025"/>
          <a:ext cx="1113554" cy="914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10</xdr:col>
      <xdr:colOff>466725</xdr:colOff>
      <xdr:row>41</xdr:row>
      <xdr:rowOff>186370</xdr:rowOff>
    </xdr:from>
    <xdr:to>
      <xdr:col>18</xdr:col>
      <xdr:colOff>542925</xdr:colOff>
      <xdr:row>61</xdr:row>
      <xdr:rowOff>48721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0F1E0B3-355C-5B9C-A1C8-B22F11419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4500" b="85125" l="9500" r="86875">
                      <a14:foregroundMark x1="37125" y1="32750" x2="26375" y2="32125"/>
                      <a14:foregroundMark x1="26375" y1="32125" x2="36750" y2="28875"/>
                      <a14:foregroundMark x1="69125" y1="28500" x2="78491" y2="29015"/>
                      <a14:foregroundMark x1="54500" y1="24500" x2="42750" y2="29875"/>
                      <a14:foregroundMark x1="42750" y1="29875" x2="43500" y2="45000"/>
                      <a14:foregroundMark x1="43500" y1="45000" x2="37500" y2="60375"/>
                      <a14:foregroundMark x1="38750" y1="80500" x2="48125" y2="80875"/>
                      <a14:foregroundMark x1="48125" y1="80875" x2="43500" y2="85125"/>
                      <a14:foregroundMark x1="85250" y1="38250" x2="86038" y2="35884"/>
                      <a14:foregroundMark x1="13375" y1="37875" x2="11000" y2="37125"/>
                      <a14:foregroundMark x1="22125" y1="41750" x2="31625" y2="57250"/>
                      <a14:backgroundMark x1="87375" y1="33750" x2="87375" y2="33250"/>
                      <a14:backgroundMark x1="87250" y1="34125" x2="87250" y2="34625"/>
                      <a14:backgroundMark x1="86875" y1="34000" x2="86875" y2="34000"/>
                      <a14:backgroundMark x1="87000" y1="33375" x2="87000" y2="33375"/>
                      <a14:backgroundMark x1="86750" y1="33875" x2="86750" y2="33875"/>
                      <a14:backgroundMark x1="86750" y1="34125" x2="86750" y2="34125"/>
                      <a14:backgroundMark x1="86750" y1="33875" x2="86750" y2="33875"/>
                      <a14:backgroundMark x1="87125" y1="33500" x2="86625" y2="36000"/>
                      <a14:backgroundMark x1="79250" y1="28875" x2="81375" y2="29125"/>
                      <a14:backgroundMark x1="78500" y1="29000" x2="79125" y2="29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685" r="4842" b="11579"/>
        <a:stretch/>
      </xdr:blipFill>
      <xdr:spPr>
        <a:xfrm>
          <a:off x="6562725" y="7120570"/>
          <a:ext cx="4953000" cy="3681876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50</xdr:row>
      <xdr:rowOff>38100</xdr:rowOff>
    </xdr:from>
    <xdr:to>
      <xdr:col>11</xdr:col>
      <xdr:colOff>571500</xdr:colOff>
      <xdr:row>51</xdr:row>
      <xdr:rowOff>171450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AB5C7F37-CCF5-996F-2738-8B4ACB8DE7E9}"/>
            </a:ext>
          </a:extLst>
        </xdr:cNvPr>
        <xdr:cNvSpPr/>
      </xdr:nvSpPr>
      <xdr:spPr>
        <a:xfrm>
          <a:off x="6743700" y="8686800"/>
          <a:ext cx="533400" cy="323850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47625</xdr:colOff>
      <xdr:row>43</xdr:row>
      <xdr:rowOff>123825</xdr:rowOff>
    </xdr:from>
    <xdr:to>
      <xdr:col>13</xdr:col>
      <xdr:colOff>581025</xdr:colOff>
      <xdr:row>45</xdr:row>
      <xdr:rowOff>66675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4DA74526-8F39-48E8-825D-38ED7BE4219F}"/>
            </a:ext>
          </a:extLst>
        </xdr:cNvPr>
        <xdr:cNvSpPr/>
      </xdr:nvSpPr>
      <xdr:spPr>
        <a:xfrm>
          <a:off x="7972425" y="7439025"/>
          <a:ext cx="533400" cy="323850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16</xdr:col>
      <xdr:colOff>257175</xdr:colOff>
      <xdr:row>43</xdr:row>
      <xdr:rowOff>29076</xdr:rowOff>
    </xdr:from>
    <xdr:to>
      <xdr:col>17</xdr:col>
      <xdr:colOff>180975</xdr:colOff>
      <xdr:row>44</xdr:row>
      <xdr:rowOff>162426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A90F4FDD-A1C0-40FE-A2EF-7B57DDE7C4A3}"/>
            </a:ext>
          </a:extLst>
        </xdr:cNvPr>
        <xdr:cNvSpPr/>
      </xdr:nvSpPr>
      <xdr:spPr>
        <a:xfrm>
          <a:off x="10042859" y="7348287"/>
          <a:ext cx="535405" cy="323850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542925</xdr:colOff>
      <xdr:row>49</xdr:row>
      <xdr:rowOff>104775</xdr:rowOff>
    </xdr:from>
    <xdr:to>
      <xdr:col>11</xdr:col>
      <xdr:colOff>28575</xdr:colOff>
      <xdr:row>52</xdr:row>
      <xdr:rowOff>85725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731046-D481-9222-F752-D4BF6E65161D}"/>
            </a:ext>
          </a:extLst>
        </xdr:cNvPr>
        <xdr:cNvSpPr/>
      </xdr:nvSpPr>
      <xdr:spPr>
        <a:xfrm>
          <a:off x="6638925" y="8572500"/>
          <a:ext cx="95250" cy="552450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200025</xdr:colOff>
      <xdr:row>42</xdr:row>
      <xdr:rowOff>9525</xdr:rowOff>
    </xdr:from>
    <xdr:to>
      <xdr:col>18</xdr:col>
      <xdr:colOff>23813</xdr:colOff>
      <xdr:row>44</xdr:row>
      <xdr:rowOff>171450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790EA0A-3F18-4122-B26C-FF9D32F4B85A}"/>
            </a:ext>
          </a:extLst>
        </xdr:cNvPr>
        <xdr:cNvSpPr/>
      </xdr:nvSpPr>
      <xdr:spPr>
        <a:xfrm>
          <a:off x="10563225" y="7134225"/>
          <a:ext cx="433388" cy="542925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576263</xdr:colOff>
      <xdr:row>42</xdr:row>
      <xdr:rowOff>114300</xdr:rowOff>
    </xdr:from>
    <xdr:to>
      <xdr:col>14</xdr:col>
      <xdr:colOff>128588</xdr:colOff>
      <xdr:row>43</xdr:row>
      <xdr:rowOff>104775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52BBB3EE-37B1-44FC-B882-B2F70944CEB2}"/>
            </a:ext>
          </a:extLst>
        </xdr:cNvPr>
        <xdr:cNvSpPr/>
      </xdr:nvSpPr>
      <xdr:spPr>
        <a:xfrm>
          <a:off x="7905423" y="7185340"/>
          <a:ext cx="773852" cy="179521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385763</xdr:colOff>
      <xdr:row>43</xdr:row>
      <xdr:rowOff>90488</xdr:rowOff>
    </xdr:from>
    <xdr:to>
      <xdr:col>13</xdr:col>
      <xdr:colOff>28575</xdr:colOff>
      <xdr:row>45</xdr:row>
      <xdr:rowOff>142875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8C558783-8B65-413F-859F-8CAF2CFD50A7}"/>
            </a:ext>
          </a:extLst>
        </xdr:cNvPr>
        <xdr:cNvSpPr/>
      </xdr:nvSpPr>
      <xdr:spPr>
        <a:xfrm>
          <a:off x="7700963" y="7405688"/>
          <a:ext cx="252412" cy="442912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23813</xdr:colOff>
      <xdr:row>49</xdr:row>
      <xdr:rowOff>71438</xdr:rowOff>
    </xdr:from>
    <xdr:to>
      <xdr:col>11</xdr:col>
      <xdr:colOff>442913</xdr:colOff>
      <xdr:row>50</xdr:row>
      <xdr:rowOff>19050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039D8B53-9329-485B-AF31-5C5F988F8270}"/>
            </a:ext>
          </a:extLst>
        </xdr:cNvPr>
        <xdr:cNvSpPr/>
      </xdr:nvSpPr>
      <xdr:spPr>
        <a:xfrm>
          <a:off x="6729413" y="8539163"/>
          <a:ext cx="419100" cy="138112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601118</xdr:colOff>
      <xdr:row>42</xdr:row>
      <xdr:rowOff>141784</xdr:rowOff>
    </xdr:from>
    <xdr:to>
      <xdr:col>16</xdr:col>
      <xdr:colOff>239168</xdr:colOff>
      <xdr:row>43</xdr:row>
      <xdr:rowOff>176213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8AFCA9A4-8538-49BB-991A-53D67D239851}"/>
            </a:ext>
          </a:extLst>
        </xdr:cNvPr>
        <xdr:cNvSpPr/>
      </xdr:nvSpPr>
      <xdr:spPr>
        <a:xfrm>
          <a:off x="9754048" y="7240886"/>
          <a:ext cx="248245" cy="224184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600075</xdr:colOff>
      <xdr:row>43</xdr:row>
      <xdr:rowOff>100012</xdr:rowOff>
    </xdr:from>
    <xdr:to>
      <xdr:col>14</xdr:col>
      <xdr:colOff>123824</xdr:colOff>
      <xdr:row>44</xdr:row>
      <xdr:rowOff>114300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CA22FD2C-4AAE-4F76-AF4A-32FB2F739F04}"/>
            </a:ext>
          </a:extLst>
        </xdr:cNvPr>
        <xdr:cNvSpPr/>
      </xdr:nvSpPr>
      <xdr:spPr>
        <a:xfrm>
          <a:off x="8524875" y="7415212"/>
          <a:ext cx="133349" cy="204788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176214</xdr:colOff>
      <xdr:row>43</xdr:row>
      <xdr:rowOff>138113</xdr:rowOff>
    </xdr:from>
    <xdr:to>
      <xdr:col>17</xdr:col>
      <xdr:colOff>604839</xdr:colOff>
      <xdr:row>45</xdr:row>
      <xdr:rowOff>1</xdr:rowOff>
    </xdr:to>
    <xdr:sp macro="" textlink="">
      <xdr:nvSpPr>
        <xdr:cNvPr id="20" name="Seta: para a Esquerda 19">
          <a:extLst>
            <a:ext uri="{FF2B5EF4-FFF2-40B4-BE49-F238E27FC236}">
              <a16:creationId xmlns:a16="http://schemas.microsoft.com/office/drawing/2014/main" id="{08404EFA-1A45-DB8D-E362-45868DDE1CBB}"/>
            </a:ext>
          </a:extLst>
        </xdr:cNvPr>
        <xdr:cNvSpPr/>
      </xdr:nvSpPr>
      <xdr:spPr>
        <a:xfrm rot="19800000">
          <a:off x="10539414" y="7453313"/>
          <a:ext cx="428625" cy="252413"/>
        </a:xfrm>
        <a:prstGeom prst="leftArrow">
          <a:avLst>
            <a:gd name="adj1" fmla="val 100000"/>
            <a:gd name="adj2" fmla="val 50000"/>
          </a:avLst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390524</xdr:colOff>
      <xdr:row>44</xdr:row>
      <xdr:rowOff>76200</xdr:rowOff>
    </xdr:from>
    <xdr:to>
      <xdr:col>18</xdr:col>
      <xdr:colOff>57149</xdr:colOff>
      <xdr:row>45</xdr:row>
      <xdr:rowOff>9524</xdr:rowOff>
    </xdr:to>
    <xdr:sp macro="" textlink="">
      <xdr:nvSpPr>
        <xdr:cNvPr id="21" name="Triângulo isósceles 20">
          <a:extLst>
            <a:ext uri="{FF2B5EF4-FFF2-40B4-BE49-F238E27FC236}">
              <a16:creationId xmlns:a16="http://schemas.microsoft.com/office/drawing/2014/main" id="{F58FD8CE-010A-A046-5745-9EDFE9A18559}"/>
            </a:ext>
          </a:extLst>
        </xdr:cNvPr>
        <xdr:cNvSpPr/>
      </xdr:nvSpPr>
      <xdr:spPr>
        <a:xfrm>
          <a:off x="10753724" y="7581900"/>
          <a:ext cx="276225" cy="133349"/>
        </a:xfrm>
        <a:prstGeom prst="triangle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16</xdr:col>
      <xdr:colOff>233471</xdr:colOff>
      <xdr:row>42</xdr:row>
      <xdr:rowOff>145420</xdr:rowOff>
    </xdr:from>
    <xdr:to>
      <xdr:col>17</xdr:col>
      <xdr:colOff>210602</xdr:colOff>
      <xdr:row>43</xdr:row>
      <xdr:rowOff>12325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4AAA9D48-3168-444A-9805-B0945DD6E0D2}"/>
            </a:ext>
          </a:extLst>
        </xdr:cNvPr>
        <xdr:cNvSpPr/>
      </xdr:nvSpPr>
      <xdr:spPr>
        <a:xfrm>
          <a:off x="9996596" y="7244522"/>
          <a:ext cx="587326" cy="56660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410811</xdr:colOff>
      <xdr:row>49</xdr:row>
      <xdr:rowOff>109065</xdr:rowOff>
    </xdr:from>
    <xdr:to>
      <xdr:col>11</xdr:col>
      <xdr:colOff>479886</xdr:colOff>
      <xdr:row>50</xdr:row>
      <xdr:rowOff>18177</xdr:rowOff>
    </xdr:to>
    <xdr:sp macro="" textlink="">
      <xdr:nvSpPr>
        <xdr:cNvPr id="23" name="Triângulo isósceles 22">
          <a:extLst>
            <a:ext uri="{FF2B5EF4-FFF2-40B4-BE49-F238E27FC236}">
              <a16:creationId xmlns:a16="http://schemas.microsoft.com/office/drawing/2014/main" id="{443486F6-94DE-60D5-F3AC-0F4D8667EE80}"/>
            </a:ext>
          </a:extLst>
        </xdr:cNvPr>
        <xdr:cNvSpPr/>
      </xdr:nvSpPr>
      <xdr:spPr>
        <a:xfrm>
          <a:off x="7129208" y="8514332"/>
          <a:ext cx="69075" cy="98158"/>
        </a:xfrm>
        <a:prstGeom prst="triangle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581387</xdr:colOff>
      <xdr:row>44</xdr:row>
      <xdr:rowOff>68784</xdr:rowOff>
    </xdr:from>
    <xdr:to>
      <xdr:col>14</xdr:col>
      <xdr:colOff>39699</xdr:colOff>
      <xdr:row>44</xdr:row>
      <xdr:rowOff>166942</xdr:rowOff>
    </xdr:to>
    <xdr:sp macro="" textlink="">
      <xdr:nvSpPr>
        <xdr:cNvPr id="24" name="Triângulo isósceles 23">
          <a:extLst>
            <a:ext uri="{FF2B5EF4-FFF2-40B4-BE49-F238E27FC236}">
              <a16:creationId xmlns:a16="http://schemas.microsoft.com/office/drawing/2014/main" id="{9AB7B123-0F24-4E59-8F50-6EE558CC0DD6}"/>
            </a:ext>
          </a:extLst>
        </xdr:cNvPr>
        <xdr:cNvSpPr/>
      </xdr:nvSpPr>
      <xdr:spPr>
        <a:xfrm rot="20557668">
          <a:off x="8521311" y="7517916"/>
          <a:ext cx="69075" cy="98158"/>
        </a:xfrm>
        <a:prstGeom prst="triangle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588868</xdr:colOff>
      <xdr:row>43</xdr:row>
      <xdr:rowOff>116335</xdr:rowOff>
    </xdr:from>
    <xdr:to>
      <xdr:col>16</xdr:col>
      <xdr:colOff>239277</xdr:colOff>
      <xdr:row>44</xdr:row>
      <xdr:rowOff>47260</xdr:rowOff>
    </xdr:to>
    <xdr:sp macro="" textlink="">
      <xdr:nvSpPr>
        <xdr:cNvPr id="25" name="Triângulo isósceles 24">
          <a:extLst>
            <a:ext uri="{FF2B5EF4-FFF2-40B4-BE49-F238E27FC236}">
              <a16:creationId xmlns:a16="http://schemas.microsoft.com/office/drawing/2014/main" id="{A51A0376-524E-4690-92C6-BE1D50DB0424}"/>
            </a:ext>
          </a:extLst>
        </xdr:cNvPr>
        <xdr:cNvSpPr/>
      </xdr:nvSpPr>
      <xdr:spPr>
        <a:xfrm rot="16200000">
          <a:off x="9811759" y="7335231"/>
          <a:ext cx="120681" cy="260604"/>
        </a:xfrm>
        <a:prstGeom prst="triangle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533548</xdr:colOff>
      <xdr:row>45</xdr:row>
      <xdr:rowOff>49423</xdr:rowOff>
    </xdr:from>
    <xdr:to>
      <xdr:col>13</xdr:col>
      <xdr:colOff>190000</xdr:colOff>
      <xdr:row>45</xdr:row>
      <xdr:rowOff>134780</xdr:rowOff>
    </xdr:to>
    <xdr:sp macro="" textlink="">
      <xdr:nvSpPr>
        <xdr:cNvPr id="26" name="Triângulo isósceles 25">
          <a:extLst>
            <a:ext uri="{FF2B5EF4-FFF2-40B4-BE49-F238E27FC236}">
              <a16:creationId xmlns:a16="http://schemas.microsoft.com/office/drawing/2014/main" id="{70E61A74-6799-4753-A507-94D8E6FAB385}"/>
            </a:ext>
          </a:extLst>
        </xdr:cNvPr>
        <xdr:cNvSpPr/>
      </xdr:nvSpPr>
      <xdr:spPr>
        <a:xfrm rot="4574823">
          <a:off x="7953637" y="7607578"/>
          <a:ext cx="85357" cy="267216"/>
        </a:xfrm>
        <a:prstGeom prst="triangle">
          <a:avLst>
            <a:gd name="adj" fmla="val 78765"/>
          </a:avLst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600075</xdr:colOff>
      <xdr:row>49</xdr:row>
      <xdr:rowOff>76200</xdr:rowOff>
    </xdr:from>
    <xdr:to>
      <xdr:col>11</xdr:col>
      <xdr:colOff>85725</xdr:colOff>
      <xdr:row>50</xdr:row>
      <xdr:rowOff>19050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266DCF82-549A-05B6-4897-2F001EDE5BA6}"/>
            </a:ext>
          </a:extLst>
        </xdr:cNvPr>
        <xdr:cNvSpPr/>
      </xdr:nvSpPr>
      <xdr:spPr>
        <a:xfrm>
          <a:off x="6696075" y="8543925"/>
          <a:ext cx="95250" cy="133350"/>
        </a:xfrm>
        <a:prstGeom prst="rect">
          <a:avLst/>
        </a:prstGeom>
        <a:solidFill>
          <a:srgbClr val="1E3E5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314325</xdr:colOff>
      <xdr:row>1</xdr:row>
      <xdr:rowOff>114300</xdr:rowOff>
    </xdr:from>
    <xdr:to>
      <xdr:col>28</xdr:col>
      <xdr:colOff>304894</xdr:colOff>
      <xdr:row>8</xdr:row>
      <xdr:rowOff>152400</xdr:rowOff>
    </xdr:to>
    <xdr:sp macro="" textlink="">
      <xdr:nvSpPr>
        <xdr:cNvPr id="28" name="Retângulo: Cantos Arredondados 27">
          <a:extLst>
            <a:ext uri="{FF2B5EF4-FFF2-40B4-BE49-F238E27FC236}">
              <a16:creationId xmlns:a16="http://schemas.microsoft.com/office/drawing/2014/main" id="{B24D803C-0E94-4EF6-AC51-A9667F7F99E4}"/>
            </a:ext>
          </a:extLst>
        </xdr:cNvPr>
        <xdr:cNvSpPr/>
      </xdr:nvSpPr>
      <xdr:spPr>
        <a:xfrm>
          <a:off x="923925" y="304800"/>
          <a:ext cx="16449769" cy="13716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5400" b="1" baseline="0"/>
            <a:t>Relatório Técnico</a:t>
          </a:r>
        </a:p>
        <a:p>
          <a:pPr algn="ctr"/>
          <a:endParaRPr lang="pt-BR" sz="4000" b="1" baseline="0"/>
        </a:p>
      </xdr:txBody>
    </xdr:sp>
    <xdr:clientData/>
  </xdr:twoCellAnchor>
  <xdr:twoCellAnchor editAs="oneCell">
    <xdr:from>
      <xdr:col>9</xdr:col>
      <xdr:colOff>304800</xdr:colOff>
      <xdr:row>79</xdr:row>
      <xdr:rowOff>38100</xdr:rowOff>
    </xdr:from>
    <xdr:to>
      <xdr:col>11</xdr:col>
      <xdr:colOff>152400</xdr:colOff>
      <xdr:row>84</xdr:row>
      <xdr:rowOff>152400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905B426-C3B6-B038-ACF1-B28DFC044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29702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314324</xdr:colOff>
      <xdr:row>85</xdr:row>
      <xdr:rowOff>28574</xdr:rowOff>
    </xdr:from>
    <xdr:to>
      <xdr:col>11</xdr:col>
      <xdr:colOff>171449</xdr:colOff>
      <xdr:row>90</xdr:row>
      <xdr:rowOff>152399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7AA24590-E9D3-C59C-B36B-712E741E6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15430499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314326</xdr:colOff>
      <xdr:row>103</xdr:row>
      <xdr:rowOff>28575</xdr:rowOff>
    </xdr:from>
    <xdr:to>
      <xdr:col>11</xdr:col>
      <xdr:colOff>190502</xdr:colOff>
      <xdr:row>108</xdr:row>
      <xdr:rowOff>171451</xdr:rowOff>
    </xdr:to>
    <xdr:pic>
      <xdr:nvPicPr>
        <xdr:cNvPr id="8" name="Picture 26" descr="StormBrixx Range">
          <a:extLst>
            <a:ext uri="{FF2B5EF4-FFF2-40B4-BE49-F238E27FC236}">
              <a16:creationId xmlns:a16="http://schemas.microsoft.com/office/drawing/2014/main" id="{9CA0D073-3E1B-5FA1-F223-AE4F01CC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18859500"/>
          <a:ext cx="1095376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285750</xdr:colOff>
      <xdr:row>97</xdr:row>
      <xdr:rowOff>19050</xdr:rowOff>
    </xdr:from>
    <xdr:to>
      <xdr:col>11</xdr:col>
      <xdr:colOff>171450</xdr:colOff>
      <xdr:row>102</xdr:row>
      <xdr:rowOff>171450</xdr:rowOff>
    </xdr:to>
    <xdr:pic>
      <xdr:nvPicPr>
        <xdr:cNvPr id="9" name="Picture 22" descr="StormBrixx Range">
          <a:extLst>
            <a:ext uri="{FF2B5EF4-FFF2-40B4-BE49-F238E27FC236}">
              <a16:creationId xmlns:a16="http://schemas.microsoft.com/office/drawing/2014/main" id="{C9267B8E-DAF9-199F-F331-57EA5719F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770697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323850</xdr:colOff>
      <xdr:row>91</xdr:row>
      <xdr:rowOff>57150</xdr:rowOff>
    </xdr:from>
    <xdr:to>
      <xdr:col>11</xdr:col>
      <xdr:colOff>180975</xdr:colOff>
      <xdr:row>96</xdr:row>
      <xdr:rowOff>180975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B9B8FE7E-2072-12DA-E110-CDCA18AD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60207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73</xdr:row>
      <xdr:rowOff>19050</xdr:rowOff>
    </xdr:from>
    <xdr:to>
      <xdr:col>11</xdr:col>
      <xdr:colOff>161925</xdr:colOff>
      <xdr:row>78</xdr:row>
      <xdr:rowOff>180975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B50AAB6C-841D-00F3-EB5F-35B9F28AD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313497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257175</xdr:colOff>
      <xdr:row>67</xdr:row>
      <xdr:rowOff>9525</xdr:rowOff>
    </xdr:from>
    <xdr:to>
      <xdr:col>11</xdr:col>
      <xdr:colOff>161925</xdr:colOff>
      <xdr:row>72</xdr:row>
      <xdr:rowOff>180975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1707483F-0657-2BA9-FED4-C466750D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1198245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109</xdr:row>
      <xdr:rowOff>0</xdr:rowOff>
    </xdr:from>
    <xdr:to>
      <xdr:col>11</xdr:col>
      <xdr:colOff>95249</xdr:colOff>
      <xdr:row>114</xdr:row>
      <xdr:rowOff>133349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5F64BED-A592-067E-E6D3-1C71C40D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0012025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115</xdr:row>
      <xdr:rowOff>0</xdr:rowOff>
    </xdr:from>
    <xdr:to>
      <xdr:col>11</xdr:col>
      <xdr:colOff>95249</xdr:colOff>
      <xdr:row>120</xdr:row>
      <xdr:rowOff>133349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19C9D23E-2102-40C1-B969-1764AF301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1155025"/>
          <a:ext cx="1085849" cy="1085849"/>
        </a:xfrm>
        <a:prstGeom prst="rect">
          <a:avLst/>
        </a:prstGeom>
      </xdr:spPr>
    </xdr:pic>
    <xdr:clientData/>
  </xdr:twoCellAnchor>
  <xdr:twoCellAnchor>
    <xdr:from>
      <xdr:col>12</xdr:col>
      <xdr:colOff>390525</xdr:colOff>
      <xdr:row>128</xdr:row>
      <xdr:rowOff>0</xdr:rowOff>
    </xdr:from>
    <xdr:to>
      <xdr:col>17</xdr:col>
      <xdr:colOff>257175</xdr:colOff>
      <xdr:row>130</xdr:row>
      <xdr:rowOff>123825</xdr:rowOff>
    </xdr:to>
    <xdr:sp macro="" textlink="">
      <xdr:nvSpPr>
        <xdr:cNvPr id="31" name="Retângulo: Cantos Arredondados 3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91C8CC-C582-4B34-A355-BE4BA8D8EBA4}"/>
            </a:ext>
          </a:extLst>
        </xdr:cNvPr>
        <xdr:cNvSpPr/>
      </xdr:nvSpPr>
      <xdr:spPr>
        <a:xfrm>
          <a:off x="7705725" y="23631525"/>
          <a:ext cx="2914650" cy="504825"/>
        </a:xfrm>
        <a:prstGeom prst="roundRect">
          <a:avLst/>
        </a:prstGeom>
        <a:solidFill>
          <a:schemeClr val="bg1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1E3E5E"/>
              </a:solidFill>
            </a:rPr>
            <a:t>Orçamento</a:t>
          </a:r>
          <a:endParaRPr lang="pt-BR" sz="1100" b="1">
            <a:solidFill>
              <a:srgbClr val="1E3E5E"/>
            </a:solidFill>
          </a:endParaRPr>
        </a:p>
      </xdr:txBody>
    </xdr:sp>
    <xdr:clientData/>
  </xdr:twoCellAnchor>
  <xdr:twoCellAnchor editAs="oneCell">
    <xdr:from>
      <xdr:col>8</xdr:col>
      <xdr:colOff>276225</xdr:colOff>
      <xdr:row>133</xdr:row>
      <xdr:rowOff>133350</xdr:rowOff>
    </xdr:from>
    <xdr:to>
      <xdr:col>21</xdr:col>
      <xdr:colOff>123825</xdr:colOff>
      <xdr:row>155</xdr:row>
      <xdr:rowOff>171451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702D9926-2231-4473-B178-66B410CD7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alphaModFix amt="5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123" b="20465"/>
        <a:stretch/>
      </xdr:blipFill>
      <xdr:spPr>
        <a:xfrm>
          <a:off x="5153025" y="25669875"/>
          <a:ext cx="7772400" cy="4229101"/>
        </a:xfrm>
        <a:prstGeom prst="rect">
          <a:avLst/>
        </a:prstGeom>
      </xdr:spPr>
    </xdr:pic>
    <xdr:clientData/>
  </xdr:twoCellAnchor>
  <xdr:twoCellAnchor editAs="oneCell">
    <xdr:from>
      <xdr:col>23</xdr:col>
      <xdr:colOff>466725</xdr:colOff>
      <xdr:row>102</xdr:row>
      <xdr:rowOff>161925</xdr:rowOff>
    </xdr:from>
    <xdr:to>
      <xdr:col>30</xdr:col>
      <xdr:colOff>200025</xdr:colOff>
      <xdr:row>125</xdr:row>
      <xdr:rowOff>180974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5092FCC3-EE4F-4A21-AD24-068ADE2B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alphaModFix amt="5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62" t="10638"/>
        <a:stretch/>
      </xdr:blipFill>
      <xdr:spPr>
        <a:xfrm>
          <a:off x="14487525" y="19792950"/>
          <a:ext cx="4000500" cy="4400549"/>
        </a:xfrm>
        <a:prstGeom prst="rect">
          <a:avLst/>
        </a:prstGeom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15</xdr:row>
      <xdr:rowOff>28574</xdr:rowOff>
    </xdr:from>
    <xdr:to>
      <xdr:col>14</xdr:col>
      <xdr:colOff>571500</xdr:colOff>
      <xdr:row>34</xdr:row>
      <xdr:rowOff>171449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991370BB-E03A-98AE-739B-08D5A07B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4824" y="3000374"/>
          <a:ext cx="4791076" cy="3762375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21</xdr:row>
      <xdr:rowOff>66675</xdr:rowOff>
    </xdr:from>
    <xdr:to>
      <xdr:col>3</xdr:col>
      <xdr:colOff>19050</xdr:colOff>
      <xdr:row>23</xdr:row>
      <xdr:rowOff>161925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731EC4-CCF7-4E6C-A473-7639383DA582}"/>
            </a:ext>
          </a:extLst>
        </xdr:cNvPr>
        <xdr:cNvSpPr/>
      </xdr:nvSpPr>
      <xdr:spPr>
        <a:xfrm>
          <a:off x="1295400" y="4181475"/>
          <a:ext cx="552450" cy="476250"/>
        </a:xfrm>
        <a:prstGeom prst="leftArrow">
          <a:avLst/>
        </a:prstGeom>
        <a:solidFill>
          <a:schemeClr val="bg1"/>
        </a:solidFill>
        <a:ln>
          <a:solidFill>
            <a:srgbClr val="1E3E5E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228600</xdr:colOff>
      <xdr:row>1</xdr:row>
      <xdr:rowOff>9525</xdr:rowOff>
    </xdr:from>
    <xdr:to>
      <xdr:col>2</xdr:col>
      <xdr:colOff>122954</xdr:colOff>
      <xdr:row>5</xdr:row>
      <xdr:rowOff>161740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9C2D63-884C-47A8-B5BD-3F7A4687D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200025"/>
          <a:ext cx="1113554" cy="914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1</xdr:col>
      <xdr:colOff>314325</xdr:colOff>
      <xdr:row>1</xdr:row>
      <xdr:rowOff>114300</xdr:rowOff>
    </xdr:from>
    <xdr:to>
      <xdr:col>28</xdr:col>
      <xdr:colOff>304894</xdr:colOff>
      <xdr:row>8</xdr:row>
      <xdr:rowOff>152400</xdr:rowOff>
    </xdr:to>
    <xdr:sp macro="" textlink="">
      <xdr:nvSpPr>
        <xdr:cNvPr id="25" name="Retângulo: Cantos Arredondados 24">
          <a:extLst>
            <a:ext uri="{FF2B5EF4-FFF2-40B4-BE49-F238E27FC236}">
              <a16:creationId xmlns:a16="http://schemas.microsoft.com/office/drawing/2014/main" id="{C109C073-2AB6-44CC-A697-A738FBBB9688}"/>
            </a:ext>
          </a:extLst>
        </xdr:cNvPr>
        <xdr:cNvSpPr/>
      </xdr:nvSpPr>
      <xdr:spPr>
        <a:xfrm>
          <a:off x="923925" y="304800"/>
          <a:ext cx="16449769" cy="13716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5400" b="1" baseline="0"/>
            <a:t>Orçamento</a:t>
          </a:r>
        </a:p>
        <a:p>
          <a:pPr algn="ctr"/>
          <a:endParaRPr lang="pt-BR" sz="4000" b="1" baseline="0"/>
        </a:p>
      </xdr:txBody>
    </xdr:sp>
    <xdr:clientData/>
  </xdr:twoCellAnchor>
  <xdr:twoCellAnchor>
    <xdr:from>
      <xdr:col>7</xdr:col>
      <xdr:colOff>28574</xdr:colOff>
      <xdr:row>15</xdr:row>
      <xdr:rowOff>28575</xdr:rowOff>
    </xdr:from>
    <xdr:to>
      <xdr:col>14</xdr:col>
      <xdr:colOff>590549</xdr:colOff>
      <xdr:row>34</xdr:row>
      <xdr:rowOff>171450</xdr:rowOff>
    </xdr:to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F0B50968-29A4-DB58-F81B-3B32ADD307CB}"/>
            </a:ext>
          </a:extLst>
        </xdr:cNvPr>
        <xdr:cNvSpPr/>
      </xdr:nvSpPr>
      <xdr:spPr>
        <a:xfrm>
          <a:off x="4295774" y="3000375"/>
          <a:ext cx="4829175" cy="3762375"/>
        </a:xfrm>
        <a:prstGeom prst="rect">
          <a:avLst/>
        </a:prstGeom>
        <a:noFill/>
        <a:ln w="38100">
          <a:solidFill>
            <a:srgbClr val="1E3E5E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0</xdr:colOff>
      <xdr:row>39</xdr:row>
      <xdr:rowOff>66674</xdr:rowOff>
    </xdr:from>
    <xdr:to>
      <xdr:col>12</xdr:col>
      <xdr:colOff>457200</xdr:colOff>
      <xdr:row>62</xdr:row>
      <xdr:rowOff>104774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BC7FD6E-A357-9CA6-274F-16329F1C0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alphaModFix amt="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3015"/>
        <a:stretch/>
      </xdr:blipFill>
      <xdr:spPr>
        <a:xfrm>
          <a:off x="0" y="7610474"/>
          <a:ext cx="7772400" cy="4429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39</xdr:row>
      <xdr:rowOff>76199</xdr:rowOff>
    </xdr:from>
    <xdr:to>
      <xdr:col>24</xdr:col>
      <xdr:colOff>476250</xdr:colOff>
      <xdr:row>62</xdr:row>
      <xdr:rowOff>114299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8C872D9-B193-4EDF-BCAD-50423B38C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alphaModFix amt="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3015"/>
        <a:stretch/>
      </xdr:blipFill>
      <xdr:spPr>
        <a:xfrm>
          <a:off x="7334250" y="7619999"/>
          <a:ext cx="7772400" cy="4429125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</xdr:colOff>
      <xdr:row>39</xdr:row>
      <xdr:rowOff>57150</xdr:rowOff>
    </xdr:from>
    <xdr:to>
      <xdr:col>36</xdr:col>
      <xdr:colOff>495300</xdr:colOff>
      <xdr:row>62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AE85F857-26A4-4D34-B09A-AF65EA3CC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alphaModFix amt="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3015"/>
        <a:stretch/>
      </xdr:blipFill>
      <xdr:spPr>
        <a:xfrm>
          <a:off x="14668500" y="7600950"/>
          <a:ext cx="7772400" cy="442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60</xdr:row>
      <xdr:rowOff>90487</xdr:rowOff>
    </xdr:from>
    <xdr:to>
      <xdr:col>11</xdr:col>
      <xdr:colOff>47625</xdr:colOff>
      <xdr:row>74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374D1B-E5D0-A7D2-DACC-88345BBA0F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390525</xdr:colOff>
      <xdr:row>117</xdr:row>
      <xdr:rowOff>23812</xdr:rowOff>
    </xdr:from>
    <xdr:to>
      <xdr:col>11</xdr:col>
      <xdr:colOff>85725</xdr:colOff>
      <xdr:row>131</xdr:row>
      <xdr:rowOff>100012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538C10-EE90-8601-3FB4-95DAA2D03C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ugusto Freire Andre, Leonardo" id="{6D27B389-631D-465C-B5E0-8CF1DD2D2A7B}" userId="S::LAndre@acodrenagem.com.br::e1da0c5c-3f51-4d74-8927-3e2060f04a83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4" dT="2025-02-06T19:33:06.50" personId="{6D27B389-631D-465C-B5E0-8CF1DD2D2A7B}" id="{124EE464-EDB1-43ED-BC75-D6417BB0E74F}">
    <text>Consultar ACO Brasil</text>
  </threadedComment>
  <threadedComment ref="T110" dT="2025-02-06T19:33:19.37" personId="{6D27B389-631D-465C-B5E0-8CF1DD2D2A7B}" id="{30BACC6C-9C78-480C-B353-730B52A47F86}">
    <text>Consultar ACO Brasil</text>
  </threadedComment>
  <threadedComment ref="T116" dT="2025-02-06T19:33:32.78" personId="{6D27B389-631D-465C-B5E0-8CF1DD2D2A7B}" id="{E936B5E8-B169-4D72-B57E-202F03226496}">
    <text>Consultar ACO Brasil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644EC-297F-4EFC-81DF-3B0454CAD399}">
  <dimension ref="A1"/>
  <sheetViews>
    <sheetView showGridLines="0" showRowColHeaders="0" tabSelected="1" zoomScaleNormal="100" workbookViewId="0"/>
  </sheetViews>
  <sheetFormatPr defaultRowHeight="15" x14ac:dyDescent="0.25"/>
  <cols>
    <col min="1" max="16384" width="9.140625" style="5"/>
  </cols>
  <sheetData/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15CF-17E2-4980-B241-60332DFA29E9}">
  <dimension ref="A1"/>
  <sheetViews>
    <sheetView showGridLines="0" showRowColHeaders="0" zoomScaleNormal="100" workbookViewId="0"/>
  </sheetViews>
  <sheetFormatPr defaultRowHeight="15" x14ac:dyDescent="0.25"/>
  <cols>
    <col min="1" max="1" width="9.140625" style="5"/>
    <col min="2" max="2" width="2.28515625" style="5" customWidth="1"/>
    <col min="3" max="16384" width="9.140625" style="5"/>
  </cols>
  <sheetData/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A994C-A65C-4F47-ABED-1ECDCCC964B0}">
  <sheetPr>
    <pageSetUpPr autoPageBreaks="0"/>
  </sheetPr>
  <dimension ref="H11:W19"/>
  <sheetViews>
    <sheetView showGridLines="0" showRowColHeaders="0" workbookViewId="0"/>
  </sheetViews>
  <sheetFormatPr defaultRowHeight="15" x14ac:dyDescent="0.25"/>
  <cols>
    <col min="1" max="1" width="9.140625" style="5"/>
    <col min="2" max="2" width="9.140625" style="5" customWidth="1"/>
    <col min="3" max="16384" width="9.140625" style="5"/>
  </cols>
  <sheetData>
    <row r="11" spans="8:23" ht="24" customHeight="1" x14ac:dyDescent="0.35">
      <c r="H11" s="15" t="s">
        <v>12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8:23" ht="24" customHeight="1" x14ac:dyDescent="0.25">
      <c r="H12" s="16" t="s">
        <v>7</v>
      </c>
      <c r="I12" s="16"/>
      <c r="J12" s="16"/>
      <c r="K12" s="16"/>
      <c r="L12" s="16"/>
      <c r="M12" s="16"/>
      <c r="N12" s="16"/>
      <c r="O12" s="16"/>
      <c r="P12" s="17"/>
      <c r="Q12" s="17"/>
      <c r="R12" s="17"/>
      <c r="S12" s="17"/>
      <c r="T12" s="17"/>
      <c r="U12" s="17"/>
      <c r="V12" s="17"/>
      <c r="W12" s="17"/>
    </row>
    <row r="13" spans="8:23" ht="24" customHeight="1" x14ac:dyDescent="0.25">
      <c r="H13" s="16"/>
      <c r="I13" s="16"/>
      <c r="J13" s="16"/>
      <c r="K13" s="16"/>
      <c r="L13" s="16"/>
      <c r="M13" s="16"/>
      <c r="N13" s="16"/>
      <c r="O13" s="16"/>
      <c r="P13" s="17"/>
      <c r="Q13" s="17"/>
      <c r="R13" s="17"/>
      <c r="S13" s="17"/>
      <c r="T13" s="17"/>
      <c r="U13" s="17"/>
      <c r="V13" s="17"/>
      <c r="W13" s="17"/>
    </row>
    <row r="14" spans="8:23" ht="24" customHeight="1" x14ac:dyDescent="0.25">
      <c r="H14" s="16" t="s">
        <v>2</v>
      </c>
      <c r="I14" s="16"/>
      <c r="J14" s="16"/>
      <c r="K14" s="16"/>
      <c r="L14" s="16"/>
      <c r="M14" s="16"/>
      <c r="N14" s="16"/>
      <c r="O14" s="16"/>
      <c r="P14" s="17"/>
      <c r="Q14" s="17"/>
      <c r="R14" s="17"/>
      <c r="S14" s="17"/>
      <c r="T14" s="17"/>
      <c r="U14" s="17"/>
      <c r="V14" s="17"/>
      <c r="W14" s="17"/>
    </row>
    <row r="15" spans="8:23" ht="24" customHeight="1" x14ac:dyDescent="0.25">
      <c r="H15" s="16"/>
      <c r="I15" s="16"/>
      <c r="J15" s="16"/>
      <c r="K15" s="16"/>
      <c r="L15" s="16"/>
      <c r="M15" s="16"/>
      <c r="N15" s="16"/>
      <c r="O15" s="16"/>
      <c r="P15" s="17"/>
      <c r="Q15" s="17"/>
      <c r="R15" s="17"/>
      <c r="S15" s="17"/>
      <c r="T15" s="17"/>
      <c r="U15" s="17"/>
      <c r="V15" s="17"/>
      <c r="W15" s="17"/>
    </row>
    <row r="16" spans="8:23" ht="24" customHeight="1" x14ac:dyDescent="0.25">
      <c r="H16" s="16" t="s">
        <v>6</v>
      </c>
      <c r="I16" s="16"/>
      <c r="J16" s="16"/>
      <c r="K16" s="16"/>
      <c r="L16" s="16"/>
      <c r="M16" s="16"/>
      <c r="N16" s="16"/>
      <c r="O16" s="16"/>
      <c r="P16" s="17"/>
      <c r="Q16" s="17"/>
      <c r="R16" s="17"/>
      <c r="S16" s="17"/>
      <c r="T16" s="17"/>
      <c r="U16" s="17"/>
      <c r="V16" s="17"/>
      <c r="W16" s="17"/>
    </row>
    <row r="17" spans="8:23" ht="45" customHeight="1" x14ac:dyDescent="0.25">
      <c r="H17" s="16"/>
      <c r="I17" s="16"/>
      <c r="J17" s="16"/>
      <c r="K17" s="16"/>
      <c r="L17" s="16"/>
      <c r="M17" s="16"/>
      <c r="N17" s="16"/>
      <c r="O17" s="16"/>
      <c r="P17" s="17"/>
      <c r="Q17" s="17"/>
      <c r="R17" s="17"/>
      <c r="S17" s="17"/>
      <c r="T17" s="17"/>
      <c r="U17" s="17"/>
      <c r="V17" s="17"/>
      <c r="W17" s="17"/>
    </row>
    <row r="18" spans="8:23" ht="57.75" customHeight="1" x14ac:dyDescent="0.25">
      <c r="H18" s="13" t="s">
        <v>43</v>
      </c>
      <c r="I18" s="13"/>
      <c r="J18" s="13"/>
      <c r="K18" s="13"/>
      <c r="L18" s="13"/>
      <c r="M18" s="13"/>
      <c r="N18" s="13"/>
      <c r="O18" s="13"/>
      <c r="P18" s="14" t="str">
        <f>IF(P14="Tráfego Leve",IF(AND(P16&gt;=0.6,P16&lt;=3.58),"ACO StormBrixx SD900",IF(AND(P16&gt;=3.58,P16&lt;=5.08),"ACO StormBrixx HD900",IF(P16&lt;0.6,"ATENÇÃO: o recobrimento mínimo é 0,6 metros.","ATENÇÃO: o recobrimento não pode exceder 5,08 metros."))),IF(P14="Tráfego Pesado",IF(AND(P16&gt;=0.6,P16&lt;=5.08),"ACO StormBrixx HD900",IF(P16&lt;0.6,"ATENÇÃO: o recobrimento mínimo é 0,6 metros.","ATENÇÃO: o recobrimento não pode exceder 5,08 metros.")),"Por favor, selecione a função e a classe de carga do StormBrixx. Também é preciso definir o recobrimento. Obrigado :)"))</f>
        <v>Por favor, selecione a função e a classe de carga do StormBrixx. Também é preciso definir o recobrimento. Obrigado :)</v>
      </c>
      <c r="Q18" s="14"/>
      <c r="R18" s="14"/>
      <c r="S18" s="14"/>
      <c r="T18" s="14"/>
      <c r="U18" s="14"/>
      <c r="V18" s="14"/>
      <c r="W18" s="14"/>
    </row>
    <row r="19" spans="8:23" ht="57.75" customHeight="1" x14ac:dyDescent="0.25">
      <c r="H19" s="13"/>
      <c r="I19" s="13"/>
      <c r="J19" s="13"/>
      <c r="K19" s="13"/>
      <c r="L19" s="13"/>
      <c r="M19" s="13"/>
      <c r="N19" s="13"/>
      <c r="O19" s="13"/>
      <c r="P19" s="14"/>
      <c r="Q19" s="14"/>
      <c r="R19" s="14"/>
      <c r="S19" s="14"/>
      <c r="T19" s="14"/>
      <c r="U19" s="14"/>
      <c r="V19" s="14"/>
      <c r="W19" s="14"/>
    </row>
  </sheetData>
  <mergeCells count="9">
    <mergeCell ref="H18:O19"/>
    <mergeCell ref="P18:W19"/>
    <mergeCell ref="H11:W11"/>
    <mergeCell ref="H12:O13"/>
    <mergeCell ref="P12:W13"/>
    <mergeCell ref="H14:O15"/>
    <mergeCell ref="P14:W15"/>
    <mergeCell ref="H16:O17"/>
    <mergeCell ref="P16:W17"/>
  </mergeCells>
  <pageMargins left="0.511811024" right="0.511811024" top="0.78740157499999996" bottom="0.78740157499999996" header="0.31496062000000002" footer="0.31496062000000002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623576B-9E93-4996-844C-AF1FC971A9EE}">
            <xm:f>NOT(ISERROR(SEARCH(Planilha2!$B$14,P18)))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2" operator="containsText" id="{7F7C0355-8446-44F4-B5FE-70F81836AA24}">
            <xm:f>NOT(ISERROR(SEARCH(Planilha2!$B$13,P18)))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3" operator="containsText" id="{B3FF99A0-6599-4AA4-80BF-45337B7488BB}">
            <xm:f>NOT(ISERROR(SEARCH(Planilha2!$B$12,P18)))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4" operator="containsText" id="{00CF4C81-56D2-4052-B193-753F2FBAA54D}">
            <xm:f>NOT(ISERROR(SEARCH(Planilha2!$B$11,P18)))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5" operator="containsText" id="{A506A1C4-5C7B-43C1-B72C-663509AC14E1}">
            <xm:f>NOT(ISERROR(SEARCH(Planilha2!$B$10,P18)))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m:sqref>P18:W19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4DB7387-49F6-43E9-AE6B-F678795B0CA9}">
          <x14:formula1>
            <xm:f>Planilha2!$B$5:$B$7</xm:f>
          </x14:formula1>
          <xm:sqref>P14:W15</xm:sqref>
        </x14:dataValidation>
        <x14:dataValidation type="list" showInputMessage="1" showErrorMessage="1" xr:uid="{ECFD62DD-0933-4B42-933E-9D4A12514385}">
          <x14:formula1>
            <xm:f>Planilha2!$B$2:$B$4</xm:f>
          </x14:formula1>
          <xm:sqref>P12:W13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F47F5-D767-4A1C-8001-7537FBBF7CEE}">
  <sheetPr>
    <pageSetUpPr autoPageBreaks="0"/>
  </sheetPr>
  <dimension ref="H11:Y57"/>
  <sheetViews>
    <sheetView showGridLines="0" showRowColHeaders="0" workbookViewId="0"/>
  </sheetViews>
  <sheetFormatPr defaultRowHeight="15" x14ac:dyDescent="0.25"/>
  <cols>
    <col min="1" max="16384" width="9.140625" style="5"/>
  </cols>
  <sheetData>
    <row r="11" spans="8:23" ht="24" customHeight="1" x14ac:dyDescent="0.35">
      <c r="H11" s="18" t="s">
        <v>13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8:23" x14ac:dyDescent="0.25">
      <c r="H12" s="13" t="s">
        <v>43</v>
      </c>
      <c r="I12" s="13"/>
      <c r="J12" s="13"/>
      <c r="K12" s="13"/>
      <c r="L12" s="13"/>
      <c r="M12" s="13"/>
      <c r="N12" s="13"/>
      <c r="O12" s="13"/>
      <c r="P12" s="19" t="str">
        <f>IF(AND(Planilha4!P18&lt;&gt;"ACO StormBrixx SD900",Planilha4!P18&lt;&gt;"ACO StormBrixx HD900"),"Faça o pré-dimensionamento, por favor.",Planilha4!P18)</f>
        <v>Faça o pré-dimensionamento, por favor.</v>
      </c>
      <c r="Q12" s="19"/>
      <c r="R12" s="19"/>
      <c r="S12" s="19"/>
      <c r="T12" s="19"/>
      <c r="U12" s="19"/>
      <c r="V12" s="19"/>
      <c r="W12" s="19"/>
    </row>
    <row r="13" spans="8:23" x14ac:dyDescent="0.25">
      <c r="H13" s="13"/>
      <c r="I13" s="13"/>
      <c r="J13" s="13"/>
      <c r="K13" s="13"/>
      <c r="L13" s="13"/>
      <c r="M13" s="13"/>
      <c r="N13" s="13"/>
      <c r="O13" s="13"/>
      <c r="P13" s="19"/>
      <c r="Q13" s="19"/>
      <c r="R13" s="19"/>
      <c r="S13" s="19"/>
      <c r="T13" s="19"/>
      <c r="U13" s="19"/>
      <c r="V13" s="19"/>
      <c r="W13" s="19"/>
    </row>
    <row r="14" spans="8:23" ht="15" customHeight="1" x14ac:dyDescent="0.25">
      <c r="H14" s="23" t="s">
        <v>104</v>
      </c>
      <c r="I14" s="24"/>
      <c r="J14" s="24"/>
      <c r="K14" s="24"/>
      <c r="L14" s="24"/>
      <c r="M14" s="24"/>
      <c r="N14" s="24"/>
      <c r="O14" s="25"/>
      <c r="P14" s="29"/>
      <c r="Q14" s="30"/>
      <c r="R14" s="30"/>
      <c r="S14" s="30"/>
      <c r="T14" s="30"/>
      <c r="U14" s="30"/>
      <c r="V14" s="30"/>
      <c r="W14" s="3"/>
    </row>
    <row r="15" spans="8:23" ht="15" customHeight="1" x14ac:dyDescent="0.25">
      <c r="H15" s="26"/>
      <c r="I15" s="27"/>
      <c r="J15" s="27"/>
      <c r="K15" s="27"/>
      <c r="L15" s="27"/>
      <c r="M15" s="27"/>
      <c r="N15" s="27"/>
      <c r="O15" s="28"/>
      <c r="P15" s="31"/>
      <c r="Q15" s="32"/>
      <c r="R15" s="32"/>
      <c r="S15" s="32"/>
      <c r="T15" s="32"/>
      <c r="U15" s="32"/>
      <c r="V15" s="32"/>
      <c r="W15" s="4"/>
    </row>
    <row r="16" spans="8:23" ht="15" customHeight="1" x14ac:dyDescent="0.25">
      <c r="H16" s="33" t="s">
        <v>109</v>
      </c>
      <c r="I16" s="34"/>
      <c r="J16" s="34"/>
      <c r="K16" s="34"/>
      <c r="L16" s="34"/>
      <c r="M16" s="34"/>
      <c r="N16" s="34"/>
      <c r="O16" s="35"/>
      <c r="P16" s="29"/>
      <c r="Q16" s="30"/>
      <c r="R16" s="30"/>
      <c r="S16" s="30"/>
      <c r="T16" s="30"/>
      <c r="U16" s="30"/>
      <c r="V16" s="30"/>
      <c r="W16" s="3"/>
    </row>
    <row r="17" spans="8:25" ht="15" customHeight="1" x14ac:dyDescent="0.25">
      <c r="H17" s="36"/>
      <c r="I17" s="37"/>
      <c r="J17" s="37"/>
      <c r="K17" s="37"/>
      <c r="L17" s="37"/>
      <c r="M17" s="37"/>
      <c r="N17" s="37"/>
      <c r="O17" s="38"/>
      <c r="P17" s="31"/>
      <c r="Q17" s="32"/>
      <c r="R17" s="32"/>
      <c r="S17" s="32"/>
      <c r="T17" s="32"/>
      <c r="U17" s="32"/>
      <c r="V17" s="32"/>
      <c r="W17" s="4"/>
    </row>
    <row r="18" spans="8:25" ht="15" customHeight="1" x14ac:dyDescent="0.25">
      <c r="H18" s="16" t="s">
        <v>30</v>
      </c>
      <c r="I18" s="16"/>
      <c r="J18" s="16"/>
      <c r="K18" s="16"/>
      <c r="L18" s="16"/>
      <c r="M18" s="16"/>
      <c r="N18" s="16"/>
      <c r="O18" s="16"/>
      <c r="P18" s="20"/>
      <c r="Q18" s="20"/>
      <c r="R18" s="20"/>
      <c r="S18" s="20"/>
      <c r="T18" s="20"/>
      <c r="U18" s="20"/>
      <c r="V18" s="21"/>
      <c r="W18" s="22" t="s">
        <v>3</v>
      </c>
    </row>
    <row r="19" spans="8:25" ht="15" customHeight="1" x14ac:dyDescent="0.25">
      <c r="H19" s="16"/>
      <c r="I19" s="16"/>
      <c r="J19" s="16"/>
      <c r="K19" s="16"/>
      <c r="L19" s="16"/>
      <c r="M19" s="16"/>
      <c r="N19" s="16"/>
      <c r="O19" s="16"/>
      <c r="P19" s="20"/>
      <c r="Q19" s="20"/>
      <c r="R19" s="20"/>
      <c r="S19" s="20"/>
      <c r="T19" s="20"/>
      <c r="U19" s="20"/>
      <c r="V19" s="21"/>
      <c r="W19" s="22"/>
    </row>
    <row r="20" spans="8:25" ht="15" customHeight="1" x14ac:dyDescent="0.25">
      <c r="H20" s="16" t="s">
        <v>29</v>
      </c>
      <c r="I20" s="16"/>
      <c r="J20" s="16"/>
      <c r="K20" s="16"/>
      <c r="L20" s="16"/>
      <c r="M20" s="16"/>
      <c r="N20" s="16"/>
      <c r="O20" s="16"/>
      <c r="P20" s="20"/>
      <c r="Q20" s="20"/>
      <c r="R20" s="20"/>
      <c r="S20" s="20"/>
      <c r="T20" s="20"/>
      <c r="U20" s="20"/>
      <c r="V20" s="21"/>
      <c r="W20" s="22" t="s">
        <v>3</v>
      </c>
    </row>
    <row r="21" spans="8:25" ht="15.75" customHeight="1" x14ac:dyDescent="0.25">
      <c r="H21" s="16"/>
      <c r="I21" s="16"/>
      <c r="J21" s="16"/>
      <c r="K21" s="16"/>
      <c r="L21" s="16"/>
      <c r="M21" s="16"/>
      <c r="N21" s="16"/>
      <c r="O21" s="16"/>
      <c r="P21" s="20"/>
      <c r="Q21" s="20"/>
      <c r="R21" s="20"/>
      <c r="S21" s="20"/>
      <c r="T21" s="20"/>
      <c r="U21" s="20"/>
      <c r="V21" s="21"/>
      <c r="W21" s="22"/>
    </row>
    <row r="22" spans="8:25" ht="15.75" customHeight="1" x14ac:dyDescent="0.25">
      <c r="H22" s="16" t="s">
        <v>17</v>
      </c>
      <c r="I22" s="16"/>
      <c r="J22" s="16"/>
      <c r="K22" s="16"/>
      <c r="L22" s="16"/>
      <c r="M22" s="16"/>
      <c r="N22" s="16"/>
      <c r="O22" s="16"/>
      <c r="P22" s="40"/>
      <c r="Q22" s="40"/>
      <c r="R22" s="40"/>
      <c r="S22" s="40"/>
      <c r="T22" s="40"/>
      <c r="U22" s="40"/>
      <c r="V22" s="41"/>
      <c r="W22" s="22" t="s">
        <v>3</v>
      </c>
    </row>
    <row r="23" spans="8:25" ht="15.75" customHeight="1" x14ac:dyDescent="0.25">
      <c r="H23" s="16"/>
      <c r="I23" s="16"/>
      <c r="J23" s="16"/>
      <c r="K23" s="16"/>
      <c r="L23" s="16"/>
      <c r="M23" s="16"/>
      <c r="N23" s="16"/>
      <c r="O23" s="16"/>
      <c r="P23" s="40"/>
      <c r="Q23" s="40"/>
      <c r="R23" s="40"/>
      <c r="S23" s="40"/>
      <c r="T23" s="40"/>
      <c r="U23" s="40"/>
      <c r="V23" s="41"/>
      <c r="W23" s="22"/>
    </row>
    <row r="24" spans="8:25" s="6" customFormat="1" ht="46.5" customHeight="1" x14ac:dyDescent="0.25">
      <c r="H24" s="42" t="s">
        <v>16</v>
      </c>
      <c r="I24" s="42"/>
      <c r="J24" s="42"/>
      <c r="K24" s="42"/>
      <c r="L24" s="42"/>
      <c r="M24" s="42"/>
      <c r="N24" s="42"/>
      <c r="O24" s="42"/>
      <c r="P24" s="43" t="str">
        <f>IF(AND(P12="ACO StormBrixx SD900",(P22+Planilha4!P16)&lt;=4.5,P22&gt;0),"OK",IF(AND(Planilha5!P12="ACO StormBrixx SD900",(Planilha5!P22+Planilha4!P16)&gt;4.5),"ATENÇÃO: A profundidade máxima executável não pode ser maior que 4,5 metros para o ACO StormBrixx SD900. Sugerimos diminuir o recobrimento sobre o StormBrixx, a altura do StormBrixx ou optar pela versão mais resistente.",IF(AND(P12="ACO StormBrixx SD900",P22=B29),"Defina a altura do StormBrixx, por favor.",IF(AND(Planilha5!P12="ACO StormBrixx HD900",(Planilha5!P22+Planilha4!P16)&lt;=6,P22&gt;0),"OK",IF(AND(Planilha5!P12="ACO StormBrixx HD900",(Planilha5!P22+Planilha4!P16)&gt;6),"ATENÇÃO: A profundidade máxima executável não pode ser maior que 6 metros para o ACO StormBrixx HD900. Sugerimos diminuir o recobrimento sobre o StormBrixx ou a altura do StormBrixx.",IF(AND(P12="ACO StormBrixx HD900",P22=B29),"Defina a altura do StormBrixx, por favor.",Planilha2!B16))))))</f>
        <v>Faça o pré-dimensionamento, por favor.</v>
      </c>
      <c r="Q24" s="43"/>
      <c r="R24" s="43"/>
      <c r="S24" s="43"/>
      <c r="T24" s="43"/>
      <c r="U24" s="43"/>
      <c r="V24" s="43"/>
      <c r="W24" s="43"/>
    </row>
    <row r="25" spans="8:25" s="6" customFormat="1" ht="46.5" customHeight="1" x14ac:dyDescent="0.25">
      <c r="H25" s="42"/>
      <c r="I25" s="42"/>
      <c r="J25" s="42"/>
      <c r="K25" s="42"/>
      <c r="L25" s="42"/>
      <c r="M25" s="42"/>
      <c r="N25" s="42"/>
      <c r="O25" s="42"/>
      <c r="P25" s="43"/>
      <c r="Q25" s="43"/>
      <c r="R25" s="43"/>
      <c r="S25" s="43"/>
      <c r="T25" s="43"/>
      <c r="U25" s="43"/>
      <c r="V25" s="43"/>
      <c r="W25" s="43"/>
    </row>
    <row r="26" spans="8:25" ht="15" customHeight="1" x14ac:dyDescent="0.25">
      <c r="H26" s="16" t="s">
        <v>55</v>
      </c>
      <c r="I26" s="16"/>
      <c r="J26" s="16"/>
      <c r="K26" s="16"/>
      <c r="L26" s="16"/>
      <c r="M26" s="16"/>
      <c r="N26" s="16"/>
      <c r="O26" s="16"/>
      <c r="P26" s="29" t="str">
        <f>IF(Planilha5!P22=Planilha2!B108,Planilha2!B83,IF(Planilha5!P16=Planilha2!B110,Planilha2!B113,IF(Planilha5!P16=Planilha2!B109,Planilha2!B114,Planilha2!B116)))</f>
        <v>Defina a altura do StormBrixx, por favor.</v>
      </c>
      <c r="Q26" s="30"/>
      <c r="R26" s="30"/>
      <c r="S26" s="30"/>
      <c r="T26" s="30"/>
      <c r="U26" s="30"/>
      <c r="V26" s="30"/>
      <c r="W26" s="3"/>
    </row>
    <row r="27" spans="8:25" ht="15" customHeight="1" x14ac:dyDescent="0.25">
      <c r="H27" s="16"/>
      <c r="I27" s="16"/>
      <c r="J27" s="16"/>
      <c r="K27" s="16"/>
      <c r="L27" s="16"/>
      <c r="M27" s="16"/>
      <c r="N27" s="16"/>
      <c r="O27" s="16"/>
      <c r="P27" s="31"/>
      <c r="Q27" s="32"/>
      <c r="R27" s="32"/>
      <c r="S27" s="32"/>
      <c r="T27" s="32"/>
      <c r="U27" s="32"/>
      <c r="V27" s="32"/>
      <c r="W27" s="4"/>
    </row>
    <row r="28" spans="8:25" x14ac:dyDescent="0.25">
      <c r="H28" s="16" t="s">
        <v>20</v>
      </c>
      <c r="I28" s="16"/>
      <c r="J28" s="16"/>
      <c r="K28" s="16"/>
      <c r="L28" s="16"/>
      <c r="M28" s="16"/>
      <c r="N28" s="16"/>
      <c r="O28" s="16"/>
      <c r="P28" s="19"/>
      <c r="Q28" s="19"/>
      <c r="R28" s="19"/>
      <c r="S28" s="19"/>
      <c r="T28" s="19"/>
      <c r="U28" s="19"/>
      <c r="V28" s="39"/>
      <c r="W28" s="22" t="s">
        <v>3</v>
      </c>
    </row>
    <row r="29" spans="8:25" x14ac:dyDescent="0.25">
      <c r="H29" s="16"/>
      <c r="I29" s="16"/>
      <c r="J29" s="16"/>
      <c r="K29" s="16"/>
      <c r="L29" s="16"/>
      <c r="M29" s="16"/>
      <c r="N29" s="16"/>
      <c r="O29" s="16"/>
      <c r="P29" s="19"/>
      <c r="Q29" s="19"/>
      <c r="R29" s="19"/>
      <c r="S29" s="19"/>
      <c r="T29" s="19"/>
      <c r="U29" s="19"/>
      <c r="V29" s="39"/>
      <c r="W29" s="22"/>
    </row>
    <row r="30" spans="8:25" ht="15" customHeight="1" x14ac:dyDescent="0.25">
      <c r="H30" s="16" t="s">
        <v>31</v>
      </c>
      <c r="I30" s="16"/>
      <c r="J30" s="16"/>
      <c r="K30" s="16"/>
      <c r="L30" s="16"/>
      <c r="M30" s="16"/>
      <c r="N30" s="16"/>
      <c r="O30" s="16"/>
      <c r="P30" s="19"/>
      <c r="Q30" s="19"/>
      <c r="R30" s="19"/>
      <c r="S30" s="19"/>
      <c r="T30" s="19"/>
      <c r="U30" s="19"/>
      <c r="V30" s="39"/>
      <c r="W30" s="22" t="s">
        <v>24</v>
      </c>
    </row>
    <row r="31" spans="8:25" ht="15" customHeight="1" x14ac:dyDescent="0.25">
      <c r="H31" s="16"/>
      <c r="I31" s="16"/>
      <c r="J31" s="16"/>
      <c r="K31" s="16"/>
      <c r="L31" s="16"/>
      <c r="M31" s="16"/>
      <c r="N31" s="16"/>
      <c r="O31" s="16"/>
      <c r="P31" s="19"/>
      <c r="Q31" s="19"/>
      <c r="R31" s="19"/>
      <c r="S31" s="19"/>
      <c r="T31" s="19"/>
      <c r="U31" s="19"/>
      <c r="V31" s="39"/>
      <c r="W31" s="22"/>
    </row>
    <row r="32" spans="8:25" ht="15" customHeight="1" x14ac:dyDescent="0.25">
      <c r="H32" s="16" t="s">
        <v>54</v>
      </c>
      <c r="I32" s="16"/>
      <c r="J32" s="16"/>
      <c r="K32" s="16"/>
      <c r="L32" s="16"/>
      <c r="M32" s="16"/>
      <c r="N32" s="16"/>
      <c r="O32" s="16"/>
      <c r="P32" s="20" t="str">
        <f>IF((Planilha2!M45*Planilha2!P45*(P22-P28)*0.97)&lt;=0,Planilha2!B28,IF(AND(P14=Planilha2!G3,Planilha5!P16=Planilha2!G2),Planilha2!B116,IF(AND(Planilha5!P14=Planilha2!G3,Planilha5!P16=Planilha2!G3),(Planilha2!M45*Planilha2!P45*(Planilha5!P22-Planilha2!L19)*0.97)+(Planilha2!M126*2),IF(AND(Planilha5!P14=Planilha2!G3,Planilha5!P16=Planilha2!G4),Planilha2!M45*Planilha2!P45*Planilha5!P22*0.97,IF(AND(P14=Planilha2!G4,Planilha5!P16=Planilha2!G2),Planilha2!B116,IF(AND(Planilha5!P14=Planilha2!G4,Planilha5!P16=Planilha2!G3),(Planilha2!M45*Planilha2!P45*(P22-Planilha2!L19)*0.97)+(Planilha2!M124*2),IF(AND(Planilha5!P14=Planilha2!G4,Planilha5!P16=Planilha2!G4),Planilha2!M45*Planilha2!P45*(Planilha5!P22-Planilha5!P28-0.048)*0.97,IF(AND(Planilha5!P14=Planilha2!G2,Planilha5!P16=Planilha2!G2),Planilha2!B106,IF(AND(Planilha5!P14=Planilha2!G2,Planilha5!P16=Planilha2!G3),Planilha2!B106,IF(AND(Planilha5!P14=Planilha2!G2,Planilha5!P16=Planilha2!G4),Planilha2!B106,0))))))))))</f>
        <v>Defina as dimensões do StormBrixx, por favor.</v>
      </c>
      <c r="Q32" s="20"/>
      <c r="R32" s="20"/>
      <c r="S32" s="20"/>
      <c r="T32" s="20"/>
      <c r="U32" s="20"/>
      <c r="V32" s="21"/>
      <c r="W32" s="22" t="s">
        <v>26</v>
      </c>
      <c r="Y32" s="56"/>
    </row>
    <row r="33" spans="8:25" ht="15" customHeight="1" x14ac:dyDescent="0.25">
      <c r="H33" s="16"/>
      <c r="I33" s="16"/>
      <c r="J33" s="16"/>
      <c r="K33" s="16"/>
      <c r="L33" s="16"/>
      <c r="M33" s="16"/>
      <c r="N33" s="16"/>
      <c r="O33" s="16"/>
      <c r="P33" s="20"/>
      <c r="Q33" s="20"/>
      <c r="R33" s="20"/>
      <c r="S33" s="20"/>
      <c r="T33" s="20"/>
      <c r="U33" s="20"/>
      <c r="V33" s="21"/>
      <c r="W33" s="22"/>
      <c r="Y33" s="56"/>
    </row>
    <row r="34" spans="8:25" x14ac:dyDescent="0.25">
      <c r="H34" s="16" t="s">
        <v>53</v>
      </c>
      <c r="I34" s="16"/>
      <c r="J34" s="16"/>
      <c r="K34" s="16"/>
      <c r="L34" s="16"/>
      <c r="M34" s="16"/>
      <c r="N34" s="16"/>
      <c r="O34" s="16"/>
      <c r="P34" s="20" t="str">
        <f>IF((Planilha2!M45*Planilha2!P45*P22)&lt;=0,Planilha2!B28,IF(AND(P14=Planilha2!G3,Planilha5!P16=Planilha2!G2),Planilha2!B116,IF(AND(Planilha5!P14=Planilha2!G3,Planilha5!P16=Planilha2!G3),(Planilha2!M45*Planilha2!P45*(Planilha5!P22-Planilha2!L19))+(Planilha2!M128*2),IF(AND(Planilha5!P14=Planilha2!G3,Planilha5!P16=Planilha2!G4),Planilha2!M45*Planilha2!P45*Planilha5!P22,IF(AND(P14=Planilha2!G4,Planilha5!P16=Planilha2!G2),Planilha2!B116,IF(AND(Planilha5!P14=Planilha2!G4,Planilha5!P16=Planilha2!G3),(Planilha2!M45*Planilha2!P45*(P22-Planilha2!L19))+(Planilha2!M128*2),IF(AND(Planilha5!P14=Planilha2!G4,Planilha5!P16=Planilha2!G4),Planilha2!M45*Planilha2!P45*(Planilha5!P22),IF(AND(Planilha5!P14=Planilha2!G2,Planilha5!P16=Planilha2!G2),Planilha2!B106,IF(AND(Planilha5!P14=Planilha2!G2,Planilha5!P16=Planilha2!G3),Planilha2!B106,IF(AND(Planilha5!P14=Planilha2!G2,Planilha5!P16=Planilha2!G4),Planilha2!B106,0))))))))))</f>
        <v>Defina as dimensões do StormBrixx, por favor.</v>
      </c>
      <c r="Q34" s="20"/>
      <c r="R34" s="20"/>
      <c r="S34" s="20"/>
      <c r="T34" s="20"/>
      <c r="U34" s="20"/>
      <c r="V34" s="21"/>
      <c r="W34" s="22" t="s">
        <v>26</v>
      </c>
    </row>
    <row r="35" spans="8:25" x14ac:dyDescent="0.25">
      <c r="H35" s="16"/>
      <c r="I35" s="16"/>
      <c r="J35" s="16"/>
      <c r="K35" s="16"/>
      <c r="L35" s="16"/>
      <c r="M35" s="16"/>
      <c r="N35" s="16"/>
      <c r="O35" s="16"/>
      <c r="P35" s="20"/>
      <c r="Q35" s="20"/>
      <c r="R35" s="20"/>
      <c r="S35" s="20"/>
      <c r="T35" s="20"/>
      <c r="U35" s="20"/>
      <c r="V35" s="21"/>
      <c r="W35" s="22"/>
    </row>
    <row r="36" spans="8:25" ht="15" customHeight="1" x14ac:dyDescent="0.25">
      <c r="H36" s="42" t="s">
        <v>39</v>
      </c>
      <c r="I36" s="42"/>
      <c r="J36" s="42"/>
      <c r="K36" s="42"/>
      <c r="L36" s="42"/>
      <c r="M36" s="42"/>
      <c r="N36" s="42"/>
      <c r="O36" s="42"/>
      <c r="P36" s="29"/>
      <c r="Q36" s="30"/>
      <c r="R36" s="30"/>
      <c r="S36" s="30"/>
      <c r="T36" s="30"/>
      <c r="U36" s="30"/>
      <c r="V36" s="30"/>
      <c r="W36" s="3"/>
    </row>
    <row r="37" spans="8:25" ht="15" customHeight="1" x14ac:dyDescent="0.25">
      <c r="H37" s="42"/>
      <c r="I37" s="42"/>
      <c r="J37" s="42"/>
      <c r="K37" s="42"/>
      <c r="L37" s="42"/>
      <c r="M37" s="42"/>
      <c r="N37" s="42"/>
      <c r="O37" s="42"/>
      <c r="P37" s="31"/>
      <c r="Q37" s="32"/>
      <c r="R37" s="32"/>
      <c r="S37" s="32"/>
      <c r="T37" s="32"/>
      <c r="U37" s="32"/>
      <c r="V37" s="32"/>
      <c r="W37" s="4"/>
    </row>
    <row r="38" spans="8:25" ht="51" customHeight="1" x14ac:dyDescent="0.25">
      <c r="H38" s="42" t="s">
        <v>25</v>
      </c>
      <c r="I38" s="42"/>
      <c r="J38" s="42"/>
      <c r="K38" s="42"/>
      <c r="L38" s="42"/>
      <c r="M38" s="42"/>
      <c r="N38" s="42"/>
      <c r="O38" s="42"/>
      <c r="P38" s="43" t="str">
        <f>IF(P24=Planilha2!B16,Planilha2!B16,IF(AND($P$36="A",$P$18&gt;0,$P$18&lt;1.8),"ATENÇÃO: O comprimento mínimo do StormBrix é de 1,8 metros.",IF(AND($P$36="B",$P$20&gt;0,$P$20&lt;1.8),"ATENÇÃO: A largura mínima do StormBrix é de 1,8 metros.",IF($P$36=$B$32,"Escolha por qual lado as tubulações vão entrar no StormBrixx, por favor.",Planilha2!$B$50))))</f>
        <v>Faça o pré-dimensionamento, por favor.</v>
      </c>
      <c r="Q38" s="43"/>
      <c r="R38" s="43"/>
      <c r="S38" s="43"/>
      <c r="T38" s="43"/>
      <c r="U38" s="43"/>
      <c r="V38" s="43"/>
      <c r="W38" s="43"/>
    </row>
    <row r="39" spans="8:25" ht="51" customHeight="1" x14ac:dyDescent="0.25">
      <c r="H39" s="42"/>
      <c r="I39" s="42"/>
      <c r="J39" s="42"/>
      <c r="K39" s="42"/>
      <c r="L39" s="42"/>
      <c r="M39" s="42"/>
      <c r="N39" s="42"/>
      <c r="O39" s="42"/>
      <c r="P39" s="43"/>
      <c r="Q39" s="43"/>
      <c r="R39" s="43"/>
      <c r="S39" s="43"/>
      <c r="T39" s="43"/>
      <c r="U39" s="43"/>
      <c r="V39" s="43"/>
      <c r="W39" s="43"/>
    </row>
    <row r="40" spans="8:25" ht="15" customHeight="1" x14ac:dyDescent="0.25">
      <c r="H40" s="42" t="s">
        <v>40</v>
      </c>
      <c r="I40" s="42"/>
      <c r="J40" s="42"/>
      <c r="K40" s="42"/>
      <c r="L40" s="42"/>
      <c r="M40" s="42"/>
      <c r="N40" s="42"/>
      <c r="O40" s="42"/>
      <c r="P40" s="29"/>
      <c r="Q40" s="30"/>
      <c r="R40" s="30"/>
      <c r="S40" s="30"/>
      <c r="T40" s="30"/>
      <c r="U40" s="30"/>
      <c r="V40" s="30"/>
      <c r="W40" s="3"/>
    </row>
    <row r="41" spans="8:25" ht="15" customHeight="1" x14ac:dyDescent="0.25">
      <c r="H41" s="42"/>
      <c r="I41" s="42"/>
      <c r="J41" s="42"/>
      <c r="K41" s="42"/>
      <c r="L41" s="42"/>
      <c r="M41" s="42"/>
      <c r="N41" s="42"/>
      <c r="O41" s="42"/>
      <c r="P41" s="31"/>
      <c r="Q41" s="32"/>
      <c r="R41" s="32"/>
      <c r="S41" s="32"/>
      <c r="T41" s="32"/>
      <c r="U41" s="32"/>
      <c r="V41" s="32"/>
      <c r="W41" s="4"/>
    </row>
    <row r="42" spans="8:25" ht="51" customHeight="1" x14ac:dyDescent="0.25">
      <c r="H42" s="42" t="s">
        <v>32</v>
      </c>
      <c r="I42" s="42"/>
      <c r="J42" s="42"/>
      <c r="K42" s="42"/>
      <c r="L42" s="42"/>
      <c r="M42" s="42"/>
      <c r="N42" s="42"/>
      <c r="O42" s="42"/>
      <c r="P42" s="43" t="str">
        <f>IF(P24=Planilha2!B16,Planilha2!B16,IF(AND($P$40="A",$P$18&gt;0,$P$18&lt;1.8),"ATENÇÃO: O comprimento mínimo do StormBrix é de 1,8 metros.",IF(AND($P$40="B",$P$20&gt;0,$P$20&lt;1.8),"ATENÇÃO: A largura mínima do StormBrix é de 1,8 metros.",IF($P$40=$B$32,"Escolha por qual lado as tubulações vão sair do StormBrixx, por favor.",Planilha2!$G$50))))</f>
        <v>Faça o pré-dimensionamento, por favor.</v>
      </c>
      <c r="Q42" s="43"/>
      <c r="R42" s="43"/>
      <c r="S42" s="43"/>
      <c r="T42" s="43"/>
      <c r="U42" s="43"/>
      <c r="V42" s="43"/>
      <c r="W42" s="43"/>
    </row>
    <row r="43" spans="8:25" ht="51" customHeight="1" x14ac:dyDescent="0.25">
      <c r="H43" s="42"/>
      <c r="I43" s="42"/>
      <c r="J43" s="42"/>
      <c r="K43" s="42"/>
      <c r="L43" s="42"/>
      <c r="M43" s="42"/>
      <c r="N43" s="42"/>
      <c r="O43" s="42"/>
      <c r="P43" s="43"/>
      <c r="Q43" s="43"/>
      <c r="R43" s="43"/>
      <c r="S43" s="43"/>
      <c r="T43" s="43"/>
      <c r="U43" s="43"/>
      <c r="V43" s="43"/>
      <c r="W43" s="43"/>
    </row>
    <row r="44" spans="8:25" x14ac:dyDescent="0.25">
      <c r="H44" s="16" t="s">
        <v>44</v>
      </c>
      <c r="I44" s="16"/>
      <c r="J44" s="16"/>
      <c r="K44" s="16"/>
      <c r="L44" s="16"/>
      <c r="M44" s="16"/>
      <c r="N44" s="16"/>
      <c r="O44" s="16"/>
      <c r="P44" s="19"/>
      <c r="Q44" s="19"/>
      <c r="R44" s="19"/>
      <c r="S44" s="19"/>
      <c r="T44" s="19"/>
      <c r="U44" s="19"/>
      <c r="V44" s="39"/>
      <c r="W44" s="22" t="s">
        <v>24</v>
      </c>
    </row>
    <row r="45" spans="8:25" x14ac:dyDescent="0.25">
      <c r="H45" s="16"/>
      <c r="I45" s="16"/>
      <c r="J45" s="16"/>
      <c r="K45" s="16"/>
      <c r="L45" s="16"/>
      <c r="M45" s="16"/>
      <c r="N45" s="16"/>
      <c r="O45" s="16"/>
      <c r="P45" s="19"/>
      <c r="Q45" s="19"/>
      <c r="R45" s="19"/>
      <c r="S45" s="19"/>
      <c r="T45" s="19"/>
      <c r="U45" s="19"/>
      <c r="V45" s="39"/>
      <c r="W45" s="22"/>
    </row>
    <row r="46" spans="8:25" ht="15" customHeight="1" x14ac:dyDescent="0.25">
      <c r="H46" s="16" t="s">
        <v>48</v>
      </c>
      <c r="I46" s="16"/>
      <c r="J46" s="16"/>
      <c r="K46" s="16"/>
      <c r="L46" s="16"/>
      <c r="M46" s="16"/>
      <c r="N46" s="16"/>
      <c r="O46" s="16"/>
      <c r="P46" s="19"/>
      <c r="Q46" s="19"/>
      <c r="R46" s="19"/>
      <c r="S46" s="19"/>
      <c r="T46" s="19"/>
      <c r="U46" s="19"/>
      <c r="V46" s="39"/>
      <c r="W46" s="22" t="s">
        <v>3</v>
      </c>
    </row>
    <row r="47" spans="8:25" ht="15" customHeight="1" x14ac:dyDescent="0.25">
      <c r="H47" s="16"/>
      <c r="I47" s="16"/>
      <c r="J47" s="16"/>
      <c r="K47" s="16"/>
      <c r="L47" s="16"/>
      <c r="M47" s="16"/>
      <c r="N47" s="16"/>
      <c r="O47" s="16"/>
      <c r="P47" s="19"/>
      <c r="Q47" s="19"/>
      <c r="R47" s="19"/>
      <c r="S47" s="19"/>
      <c r="T47" s="19"/>
      <c r="U47" s="19"/>
      <c r="V47" s="39"/>
      <c r="W47" s="22"/>
    </row>
    <row r="48" spans="8:25" ht="15" customHeight="1" x14ac:dyDescent="0.25">
      <c r="H48" s="16" t="s">
        <v>135</v>
      </c>
      <c r="I48" s="16"/>
      <c r="J48" s="16"/>
      <c r="K48" s="16"/>
      <c r="L48" s="16"/>
      <c r="M48" s="16"/>
      <c r="N48" s="16"/>
      <c r="O48" s="16"/>
      <c r="P48" s="19"/>
      <c r="Q48" s="19"/>
      <c r="R48" s="19"/>
      <c r="S48" s="19"/>
      <c r="T48" s="19"/>
      <c r="U48" s="19"/>
      <c r="V48" s="39"/>
      <c r="W48" s="3"/>
    </row>
    <row r="49" spans="8:23" ht="15" customHeight="1" x14ac:dyDescent="0.25">
      <c r="H49" s="16"/>
      <c r="I49" s="16"/>
      <c r="J49" s="16"/>
      <c r="K49" s="16"/>
      <c r="L49" s="16"/>
      <c r="M49" s="16"/>
      <c r="N49" s="16"/>
      <c r="O49" s="16"/>
      <c r="P49" s="19"/>
      <c r="Q49" s="19"/>
      <c r="R49" s="19"/>
      <c r="S49" s="19"/>
      <c r="T49" s="19"/>
      <c r="U49" s="19"/>
      <c r="V49" s="39"/>
      <c r="W49" s="4"/>
    </row>
    <row r="50" spans="8:23" ht="15" customHeight="1" x14ac:dyDescent="0.25">
      <c r="H50" s="16" t="s">
        <v>136</v>
      </c>
      <c r="I50" s="16"/>
      <c r="J50" s="16"/>
      <c r="K50" s="16"/>
      <c r="L50" s="16"/>
      <c r="M50" s="16"/>
      <c r="N50" s="16"/>
      <c r="O50" s="16"/>
      <c r="P50" s="19"/>
      <c r="Q50" s="19"/>
      <c r="R50" s="19"/>
      <c r="S50" s="19"/>
      <c r="T50" s="19"/>
      <c r="U50" s="19"/>
      <c r="V50" s="39"/>
      <c r="W50" s="22" t="s">
        <v>3</v>
      </c>
    </row>
    <row r="51" spans="8:23" ht="15" customHeight="1" x14ac:dyDescent="0.25">
      <c r="H51" s="16"/>
      <c r="I51" s="16"/>
      <c r="J51" s="16"/>
      <c r="K51" s="16"/>
      <c r="L51" s="16"/>
      <c r="M51" s="16"/>
      <c r="N51" s="16"/>
      <c r="O51" s="16"/>
      <c r="P51" s="19"/>
      <c r="Q51" s="19"/>
      <c r="R51" s="19"/>
      <c r="S51" s="19"/>
      <c r="T51" s="19"/>
      <c r="U51" s="19"/>
      <c r="V51" s="39"/>
      <c r="W51" s="22"/>
    </row>
    <row r="52" spans="8:23" ht="15" customHeight="1" x14ac:dyDescent="0.25">
      <c r="H52" s="16" t="s">
        <v>137</v>
      </c>
      <c r="I52" s="16"/>
      <c r="J52" s="16"/>
      <c r="K52" s="16"/>
      <c r="L52" s="16"/>
      <c r="M52" s="16"/>
      <c r="N52" s="16"/>
      <c r="O52" s="16"/>
      <c r="P52" s="19"/>
      <c r="Q52" s="19"/>
      <c r="R52" s="19"/>
      <c r="S52" s="19"/>
      <c r="T52" s="19"/>
      <c r="U52" s="19"/>
      <c r="V52" s="39"/>
      <c r="W52" s="22" t="s">
        <v>143</v>
      </c>
    </row>
    <row r="53" spans="8:23" ht="15" customHeight="1" x14ac:dyDescent="0.25">
      <c r="H53" s="16"/>
      <c r="I53" s="16"/>
      <c r="J53" s="16"/>
      <c r="K53" s="16"/>
      <c r="L53" s="16"/>
      <c r="M53" s="16"/>
      <c r="N53" s="16"/>
      <c r="O53" s="16"/>
      <c r="P53" s="19"/>
      <c r="Q53" s="19"/>
      <c r="R53" s="19"/>
      <c r="S53" s="19"/>
      <c r="T53" s="19"/>
      <c r="U53" s="19"/>
      <c r="V53" s="39"/>
      <c r="W53" s="22"/>
    </row>
    <row r="54" spans="8:23" ht="51" customHeight="1" x14ac:dyDescent="0.25">
      <c r="H54" s="16" t="s">
        <v>146</v>
      </c>
      <c r="I54" s="16"/>
      <c r="J54" s="16"/>
      <c r="K54" s="16"/>
      <c r="L54" s="16"/>
      <c r="M54" s="16"/>
      <c r="N54" s="16"/>
      <c r="O54" s="16"/>
      <c r="P54" s="50" t="str">
        <f>IF(P48="Sim",Planilha2!A156,IF(P48="Não","OK","Existe presença de lençol freático?"))</f>
        <v>Existe presença de lençol freático?</v>
      </c>
      <c r="Q54" s="51"/>
      <c r="R54" s="51"/>
      <c r="S54" s="51"/>
      <c r="T54" s="51"/>
      <c r="U54" s="51"/>
      <c r="V54" s="51"/>
      <c r="W54" s="52"/>
    </row>
    <row r="55" spans="8:23" ht="51" customHeight="1" x14ac:dyDescent="0.25">
      <c r="H55" s="16"/>
      <c r="I55" s="16"/>
      <c r="J55" s="16"/>
      <c r="K55" s="16"/>
      <c r="L55" s="16"/>
      <c r="M55" s="16"/>
      <c r="N55" s="16"/>
      <c r="O55" s="16"/>
      <c r="P55" s="53"/>
      <c r="Q55" s="54"/>
      <c r="R55" s="54"/>
      <c r="S55" s="54"/>
      <c r="T55" s="54"/>
      <c r="U55" s="54"/>
      <c r="V55" s="54"/>
      <c r="W55" s="55"/>
    </row>
    <row r="56" spans="8:23" ht="51" customHeight="1" x14ac:dyDescent="0.25">
      <c r="H56" s="44" t="s">
        <v>45</v>
      </c>
      <c r="I56" s="45"/>
      <c r="J56" s="45"/>
      <c r="K56" s="45"/>
      <c r="L56" s="45"/>
      <c r="M56" s="45"/>
      <c r="N56" s="45"/>
      <c r="O56" s="46"/>
      <c r="P56" s="14" t="str">
        <f>IF(P12=Planilha2!B16,Planilha2!B16,IF(P18&lt;1.8,Planilha2!B55,IF(Planilha5!P20&lt;1.8,Planilha2!B56,IF(AND(P24=Planilha2!B26,Planilha5!P38=Planilha2!B26,Planilha5!P42=Planilha2!B26,P54=Planilha2!B26,P26&lt;&gt;Planilha2!B25),"Projeto Executável :D","ATENÇÃO: Não recomendamos executar sem a aprovação das avaliações ACO." ))))</f>
        <v>Faça o pré-dimensionamento, por favor.</v>
      </c>
      <c r="Q56" s="14"/>
      <c r="R56" s="14"/>
      <c r="S56" s="14"/>
      <c r="T56" s="14"/>
      <c r="U56" s="14"/>
      <c r="V56" s="14"/>
      <c r="W56" s="14"/>
    </row>
    <row r="57" spans="8:23" ht="51" customHeight="1" x14ac:dyDescent="0.25">
      <c r="H57" s="47"/>
      <c r="I57" s="48"/>
      <c r="J57" s="48"/>
      <c r="K57" s="48"/>
      <c r="L57" s="48"/>
      <c r="M57" s="48"/>
      <c r="N57" s="48"/>
      <c r="O57" s="49"/>
      <c r="P57" s="14"/>
      <c r="Q57" s="14"/>
      <c r="R57" s="14"/>
      <c r="S57" s="14"/>
      <c r="T57" s="14"/>
      <c r="U57" s="14"/>
      <c r="V57" s="14"/>
      <c r="W57" s="14"/>
    </row>
  </sheetData>
  <mergeCells count="59">
    <mergeCell ref="Y32:Y33"/>
    <mergeCell ref="H32:O33"/>
    <mergeCell ref="P32:V33"/>
    <mergeCell ref="W32:W33"/>
    <mergeCell ref="H44:O45"/>
    <mergeCell ref="P44:V45"/>
    <mergeCell ref="W44:W45"/>
    <mergeCell ref="H34:O35"/>
    <mergeCell ref="P34:V35"/>
    <mergeCell ref="W34:W35"/>
    <mergeCell ref="H56:O57"/>
    <mergeCell ref="P56:W57"/>
    <mergeCell ref="H46:O47"/>
    <mergeCell ref="P46:V47"/>
    <mergeCell ref="W46:W47"/>
    <mergeCell ref="H48:O49"/>
    <mergeCell ref="H50:O51"/>
    <mergeCell ref="H52:O53"/>
    <mergeCell ref="H54:O55"/>
    <mergeCell ref="P48:V49"/>
    <mergeCell ref="P50:V51"/>
    <mergeCell ref="P52:V53"/>
    <mergeCell ref="W50:W51"/>
    <mergeCell ref="W52:W53"/>
    <mergeCell ref="P54:W55"/>
    <mergeCell ref="H30:O31"/>
    <mergeCell ref="P30:V31"/>
    <mergeCell ref="W30:W31"/>
    <mergeCell ref="H40:O41"/>
    <mergeCell ref="H42:O43"/>
    <mergeCell ref="P42:W43"/>
    <mergeCell ref="P40:V41"/>
    <mergeCell ref="H36:O37"/>
    <mergeCell ref="P36:V37"/>
    <mergeCell ref="H38:O39"/>
    <mergeCell ref="P38:W39"/>
    <mergeCell ref="H26:O27"/>
    <mergeCell ref="H22:O23"/>
    <mergeCell ref="H28:O29"/>
    <mergeCell ref="P28:V29"/>
    <mergeCell ref="W28:W29"/>
    <mergeCell ref="P26:V27"/>
    <mergeCell ref="P22:V23"/>
    <mergeCell ref="W22:W23"/>
    <mergeCell ref="H24:O25"/>
    <mergeCell ref="P24:W25"/>
    <mergeCell ref="H11:W11"/>
    <mergeCell ref="H12:O13"/>
    <mergeCell ref="P12:W13"/>
    <mergeCell ref="H18:O19"/>
    <mergeCell ref="H20:O21"/>
    <mergeCell ref="P18:V19"/>
    <mergeCell ref="P20:V21"/>
    <mergeCell ref="W18:W19"/>
    <mergeCell ref="W20:W21"/>
    <mergeCell ref="H14:O15"/>
    <mergeCell ref="P14:V15"/>
    <mergeCell ref="H16:O17"/>
    <mergeCell ref="P16:V17"/>
  </mergeCells>
  <conditionalFormatting sqref="P12:W13">
    <cfRule type="expression" dxfId="105" priority="38">
      <formula>$P$12&lt;&gt;"Faça o pré-dimensionamento, por favor."</formula>
    </cfRule>
  </conditionalFormatting>
  <pageMargins left="0.511811024" right="0.511811024" top="0.78740157499999996" bottom="0.78740157499999996" header="0.31496062000000002" footer="0.31496062000000002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" operator="containsText" id="{45915C5B-8B9D-4F46-9D00-4CEAFA4AE3BA}">
            <xm:f>NOT(ISERROR(SEARCH(Planilha2!$B$25,P26)))</xm:f>
            <xm:f>Planilha2!$B$25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P26</xm:sqref>
        </x14:conditionalFormatting>
        <x14:conditionalFormatting xmlns:xm="http://schemas.microsoft.com/office/excel/2006/main">
          <x14:cfRule type="containsText" priority="5" operator="containsText" id="{58DC6082-957B-4A23-A72E-FA11F91C104C}">
            <xm:f>NOT(ISERROR(SEARCH(Planilha2!$B$116,P26)))</xm:f>
            <xm:f>Planilha2!$B$116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P26:V27</xm:sqref>
        </x14:conditionalFormatting>
        <x14:conditionalFormatting xmlns:xm="http://schemas.microsoft.com/office/excel/2006/main">
          <x14:cfRule type="containsText" priority="30" operator="containsText" id="{ADA99BA5-13D5-4DEC-86B7-CD130E102F62}">
            <xm:f>NOT(ISERROR(SEARCH(Planilha2!$B$28,P32)))</xm:f>
            <xm:f>Planilha2!$B$28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4" operator="containsText" id="{9EFE59C9-00EA-4833-BD26-31E1930ACF90}">
            <xm:f>NOT(ISERROR(SEARCH(Planilha2!$B$116,P32)))</xm:f>
            <xm:f>Planilha2!$B$116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6" operator="containsText" id="{0CB4FFAE-C1BA-4A2E-8480-93AE6BF59662}">
            <xm:f>NOT(ISERROR(SEARCH(Planilha2!$B$106,P32)))</xm:f>
            <xm:f>Planilha2!$B$106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P32:V33</xm:sqref>
        </x14:conditionalFormatting>
        <x14:conditionalFormatting xmlns:xm="http://schemas.microsoft.com/office/excel/2006/main">
          <x14:cfRule type="containsText" priority="29" operator="containsText" id="{84F66133-EA31-4B77-BEFC-E33283621DBD}">
            <xm:f>NOT(ISERROR(SEARCH(Planilha2!$B$28,P34)))</xm:f>
            <xm:f>Planilha2!$B$28</xm:f>
            <x14:dxf>
              <font>
                <color rgb="FF545200"/>
              </font>
              <fill>
                <patternFill>
                  <bgColor rgb="FFFBFFD1"/>
                </patternFill>
              </fill>
            </x14:dxf>
          </x14:cfRule>
          <xm:sqref>P34:V35</xm:sqref>
        </x14:conditionalFormatting>
        <x14:conditionalFormatting xmlns:xm="http://schemas.microsoft.com/office/excel/2006/main">
          <x14:cfRule type="containsText" priority="39" operator="containsText" id="{077F5CB6-5287-4D0F-8FAE-080E5F547F97}">
            <xm:f>NOT(ISERROR(SEARCH(Planilha2!$B$16,P12)))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P12:W13</xm:sqref>
        </x14:conditionalFormatting>
        <x14:conditionalFormatting xmlns:xm="http://schemas.microsoft.com/office/excel/2006/main">
          <x14:cfRule type="containsText" priority="33" operator="containsText" id="{C0C8A902-C0BF-4998-98E2-5DE466F86E86}">
            <xm:f>NOT(ISERROR(SEARCH(Planilha2!$B$23,P24)))</xm:f>
            <xm:f>Planilha2!$B$23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34" operator="containsText" id="{B272526A-7020-400D-B846-B90F7DB1C2E1}">
            <xm:f>NOT(ISERROR(SEARCH(Planilha2!$B$24,P24)))</xm:f>
            <xm:f>Planilha2!$B$24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35" operator="containsText" id="{1E4F3A01-7D50-4ACD-8BEF-9BFD4CC9BA3E}">
            <xm:f>NOT(ISERROR(SEARCH(Planilha2!$B$25,P24)))</xm:f>
            <xm:f>Planilha2!$B$25</xm:f>
            <x14:dxf>
              <font>
                <color rgb="FF545200"/>
              </font>
              <fill>
                <patternFill>
                  <bgColor rgb="FFFEFFD1"/>
                </patternFill>
              </fill>
            </x14:dxf>
          </x14:cfRule>
          <x14:cfRule type="containsText" priority="36" operator="containsText" id="{12982B5F-952D-428A-8173-AF8B556F98B6}">
            <xm:f>NOT(ISERROR(SEARCH(Planilha2!$B$26,P24)))</xm:f>
            <xm:f>Planilha2!$B$26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37" operator="containsText" id="{7CA8F0AB-4DB4-48B8-A449-CCEB842E4059}">
            <xm:f>NOT(ISERROR(SEARCH(Planilha2!$B$16,P24)))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P24:W25</xm:sqref>
        </x14:conditionalFormatting>
        <x14:conditionalFormatting xmlns:xm="http://schemas.microsoft.com/office/excel/2006/main">
          <x14:cfRule type="containsText" priority="28" operator="containsText" id="{2ECEB34F-CA7B-4EDB-A78F-CF58A1217456}">
            <xm:f>NOT(ISERROR(SEARCH(Planilha2!$B$53,P38)))</xm:f>
            <xm:f>Planilha2!$B$53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27" operator="containsText" id="{C95FB9FF-82A6-440D-8E4D-80F31569E241}">
            <xm:f>NOT(ISERROR(SEARCH(Planilha2!$B$54,P38)))</xm:f>
            <xm:f>Planilha2!$B$54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26" operator="containsText" id="{202A8481-9AC0-4CCF-8C1D-C576105A0165}">
            <xm:f>NOT(ISERROR(SEARCH(Planilha2!$B$26,P38)))</xm:f>
            <xm:f>Planilha2!$B$26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22" operator="containsText" id="{2221C66D-3258-45A6-81D5-7AF3E55FBD00}">
            <xm:f>NOT(ISERROR(SEARCH(Planilha2!$B$55,P38)))</xm:f>
            <xm:f>Planilha2!$B$55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21" operator="containsText" id="{615756F7-27F9-40B8-82A4-2F9B6C3D4DC8}">
            <xm:f>NOT(ISERROR(SEARCH(Planilha2!$B$56,P38)))</xm:f>
            <xm:f>Planilha2!$B$56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3" operator="containsText" id="{EB8B5721-9D38-45D9-9D96-D6D9F1B392BD}">
            <xm:f>NOT(ISERROR(SEARCH(Planilha2!$B$16,P38)))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P38:W39</xm:sqref>
        </x14:conditionalFormatting>
        <x14:conditionalFormatting xmlns:xm="http://schemas.microsoft.com/office/excel/2006/main">
          <x14:cfRule type="containsText" priority="20" operator="containsText" id="{C96179FE-E64C-41E9-A853-00B85E05248A}">
            <xm:f>NOT(ISERROR(SEARCH(Planilha2!$B$53,P42)))</xm:f>
            <xm:f>Planilha2!$B$53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12" operator="containsText" id="{3BA361B9-B98B-4417-BB8F-AE44215D6F48}">
            <xm:f>NOT(ISERROR(SEARCH(Planilha2!$B$16,P42)))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4" operator="containsText" id="{8E0B29EE-6457-4252-AEA7-C3A8795CAA7C}">
            <xm:f>NOT(ISERROR(SEARCH(Planilha2!$B$58,P42)))</xm:f>
            <xm:f>Planilha2!$B$58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5" operator="containsText" id="{B9794ADB-7670-482A-8ED5-0B5836D74BC5}">
            <xm:f>NOT(ISERROR(SEARCH(Planilha2!$B$57,P42)))</xm:f>
            <xm:f>Planilha2!$B$57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16" operator="containsText" id="{679A25A8-36B0-4F57-AF96-0FF4D4D5BDB7}">
            <xm:f>NOT(ISERROR(SEARCH(Planilha2!$B$56,P42)))</xm:f>
            <xm:f>Planilha2!$B$56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7" operator="containsText" id="{596A069C-3D66-4B84-A14A-A3951450CCDD}">
            <xm:f>NOT(ISERROR(SEARCH(Planilha2!$B$55,P42)))</xm:f>
            <xm:f>Planilha2!$B$55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8" operator="containsText" id="{97643202-5732-4A32-84E8-C8B3A0A9C76C}">
            <xm:f>NOT(ISERROR(SEARCH(Planilha2!$B$26,P42)))</xm:f>
            <xm:f>Planilha2!$B$26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19" operator="containsText" id="{26FC5B87-C2DF-4F08-A12E-0A47E8069F92}">
            <xm:f>NOT(ISERROR(SEARCH(Planilha2!$B$54,P42)))</xm:f>
            <xm:f>Planilha2!$B$54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P42:W43</xm:sqref>
        </x14:conditionalFormatting>
        <x14:conditionalFormatting xmlns:xm="http://schemas.microsoft.com/office/excel/2006/main">
          <x14:cfRule type="containsText" priority="3" operator="containsText" id="{DC45B914-5551-4AE1-B668-3864083C0B52}">
            <xm:f>NOT(ISERROR(SEARCH($H$48,P54)))</xm:f>
            <xm:f>$H$48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2" operator="containsText" id="{621DEA4B-CBD3-4B36-B6FB-B4D455E67F38}">
            <xm:f>NOT(ISERROR(SEARCH(Planilha2!$A$158,P54)))</xm:f>
            <xm:f>Planilha2!$A$158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" operator="containsText" id="{74302A0C-E021-4B1C-A2FF-BBFD5057618E}">
            <xm:f>NOT(ISERROR(SEARCH(Planilha2!$B$26,P54)))</xm:f>
            <xm:f>Planilha2!$B$26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m:sqref>P54:W55</xm:sqref>
        </x14:conditionalFormatting>
        <x14:conditionalFormatting xmlns:xm="http://schemas.microsoft.com/office/excel/2006/main">
          <x14:cfRule type="containsText" priority="11" operator="containsText" id="{64B3BFB1-6905-4B26-B830-789B39E2E006}">
            <xm:f>NOT(ISERROR(SEARCH(Planilha2!$B$56,P56)))</xm:f>
            <xm:f>Planilha2!$B$56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0" operator="containsText" id="{0B14862A-67F0-499F-8778-4BD25B10C11A}">
            <xm:f>NOT(ISERROR(SEARCH(Planilha2!$B$55,P56)))</xm:f>
            <xm:f>Planilha2!$B$55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9" operator="containsText" id="{C8B6B2CF-8F38-4FD9-B576-4221DCCD7FFB}">
            <xm:f>NOT(ISERROR(SEARCH(Planilha2!$B$77,P56)))</xm:f>
            <xm:f>Planilha2!$B$77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8" operator="containsText" id="{4F7D66B4-B2ED-4B56-B762-F7770AB96121}">
            <xm:f>NOT(ISERROR(SEARCH(Planilha2!$B$78,P56)))</xm:f>
            <xm:f>Planilha2!$B$78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7" operator="containsText" id="{1507B4E0-DA73-49BC-B6F9-EA750BBF3D69}">
            <xm:f>NOT(ISERROR(SEARCH(Planilha2!$B$16,P56)))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P56:W57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8DF62E1-317D-497E-9AD7-4A8E895EF3E2}">
          <x14:formula1>
            <xm:f>Planilha2!$B$18:$B$21</xm:f>
          </x14:formula1>
          <xm:sqref>P22:V23</xm:sqref>
        </x14:dataValidation>
        <x14:dataValidation type="list" allowBlank="1" showInputMessage="1" showErrorMessage="1" xr:uid="{174B0144-1ABD-47CD-A23C-F008FCD28962}">
          <x14:formula1>
            <xm:f>Planilha2!$B$29:$B$38</xm:f>
          </x14:formula1>
          <xm:sqref>P28:V29 P46:V47</xm:sqref>
        </x14:dataValidation>
        <x14:dataValidation type="list" allowBlank="1" showInputMessage="1" showErrorMessage="1" xr:uid="{0AC2011C-DD60-40A9-8B3D-AB1E75BEEBCF}">
          <x14:formula1>
            <xm:f>Planilha2!$B$39:$B$41</xm:f>
          </x14:formula1>
          <xm:sqref>P36 P40</xm:sqref>
        </x14:dataValidation>
        <x14:dataValidation type="list" allowBlank="1" showInputMessage="1" showErrorMessage="1" xr:uid="{F162BCB7-D543-41FC-A0E6-AB4C635D315B}">
          <x14:formula1>
            <xm:f>Planilha2!$G$2:$G$4</xm:f>
          </x14:formula1>
          <xm:sqref>P14 P48:V49</xm:sqref>
        </x14:dataValidation>
        <x14:dataValidation type="list" allowBlank="1" showInputMessage="1" showErrorMessage="1" xr:uid="{94552A27-D489-4C1D-96C7-FFCC0047E7B3}">
          <x14:formula1>
            <xm:f>Planilha2!$B$108:$B$110</xm:f>
          </x14:formula1>
          <xm:sqref>P16:V17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4903-EC88-458B-8434-F242D3591FDB}">
  <dimension ref="H11:W124"/>
  <sheetViews>
    <sheetView showGridLines="0" showRowColHeaders="0" zoomScaleNormal="100" workbookViewId="0"/>
  </sheetViews>
  <sheetFormatPr defaultRowHeight="15" x14ac:dyDescent="0.25"/>
  <cols>
    <col min="1" max="16384" width="9.140625" style="5"/>
  </cols>
  <sheetData>
    <row r="11" spans="8:23" ht="24" customHeight="1" x14ac:dyDescent="0.25">
      <c r="H11" s="81" t="s">
        <v>49</v>
      </c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8:23" ht="15" customHeight="1" x14ac:dyDescent="0.25">
      <c r="H12" s="16" t="s">
        <v>51</v>
      </c>
      <c r="I12" s="16"/>
      <c r="J12" s="16"/>
      <c r="K12" s="16"/>
      <c r="L12" s="16"/>
      <c r="M12" s="16"/>
      <c r="N12" s="16"/>
      <c r="O12" s="16"/>
      <c r="P12" s="59" t="str">
        <f>IF(Planilha4!P12&lt;=0,"Defina a função do StormBrixx, por favor.",Planilha4!P12)</f>
        <v>Defina a função do StormBrixx, por favor.</v>
      </c>
      <c r="Q12" s="60"/>
      <c r="R12" s="60"/>
      <c r="S12" s="60"/>
      <c r="T12" s="60"/>
      <c r="U12" s="60"/>
      <c r="V12" s="60"/>
      <c r="W12" s="57"/>
    </row>
    <row r="13" spans="8:23" ht="15" customHeight="1" x14ac:dyDescent="0.25">
      <c r="H13" s="16"/>
      <c r="I13" s="16"/>
      <c r="J13" s="16"/>
      <c r="K13" s="16"/>
      <c r="L13" s="16"/>
      <c r="M13" s="16"/>
      <c r="N13" s="16"/>
      <c r="O13" s="16"/>
      <c r="P13" s="82"/>
      <c r="Q13" s="83"/>
      <c r="R13" s="83"/>
      <c r="S13" s="83"/>
      <c r="T13" s="83"/>
      <c r="U13" s="83"/>
      <c r="V13" s="83"/>
      <c r="W13" s="58"/>
    </row>
    <row r="14" spans="8:23" ht="15" customHeight="1" x14ac:dyDescent="0.25">
      <c r="H14" s="16" t="s">
        <v>50</v>
      </c>
      <c r="I14" s="16"/>
      <c r="J14" s="16"/>
      <c r="K14" s="16"/>
      <c r="L14" s="16"/>
      <c r="M14" s="16"/>
      <c r="N14" s="16"/>
      <c r="O14" s="16"/>
      <c r="P14" s="59" t="str">
        <f>IF(Planilha4!P14&lt;=0,"Defina a classe de carga do StormBrixx, por favor.",Planilha4!P14)</f>
        <v>Defina a classe de carga do StormBrixx, por favor.</v>
      </c>
      <c r="Q14" s="60"/>
      <c r="R14" s="60"/>
      <c r="S14" s="60"/>
      <c r="T14" s="60"/>
      <c r="U14" s="60"/>
      <c r="V14" s="60"/>
      <c r="W14" s="57"/>
    </row>
    <row r="15" spans="8:23" ht="15" customHeight="1" x14ac:dyDescent="0.25">
      <c r="H15" s="16"/>
      <c r="I15" s="16"/>
      <c r="J15" s="16"/>
      <c r="K15" s="16"/>
      <c r="L15" s="16"/>
      <c r="M15" s="16"/>
      <c r="N15" s="16"/>
      <c r="O15" s="16"/>
      <c r="P15" s="82"/>
      <c r="Q15" s="83"/>
      <c r="R15" s="83"/>
      <c r="S15" s="83"/>
      <c r="T15" s="83"/>
      <c r="U15" s="83"/>
      <c r="V15" s="83"/>
      <c r="W15" s="58"/>
    </row>
    <row r="16" spans="8:23" ht="15" customHeight="1" x14ac:dyDescent="0.25">
      <c r="H16" s="16" t="s">
        <v>43</v>
      </c>
      <c r="I16" s="16"/>
      <c r="J16" s="16"/>
      <c r="K16" s="16"/>
      <c r="L16" s="16"/>
      <c r="M16" s="16"/>
      <c r="N16" s="16"/>
      <c r="O16" s="16"/>
      <c r="P16" s="59" t="str">
        <f>Planilha5!P12</f>
        <v>Faça o pré-dimensionamento, por favor.</v>
      </c>
      <c r="Q16" s="60"/>
      <c r="R16" s="60"/>
      <c r="S16" s="60"/>
      <c r="T16" s="60"/>
      <c r="U16" s="60"/>
      <c r="V16" s="60"/>
      <c r="W16" s="57"/>
    </row>
    <row r="17" spans="8:23" ht="15" customHeight="1" x14ac:dyDescent="0.25">
      <c r="H17" s="16"/>
      <c r="I17" s="16"/>
      <c r="J17" s="16"/>
      <c r="K17" s="16"/>
      <c r="L17" s="16"/>
      <c r="M17" s="16"/>
      <c r="N17" s="16"/>
      <c r="O17" s="16"/>
      <c r="P17" s="82"/>
      <c r="Q17" s="83"/>
      <c r="R17" s="83"/>
      <c r="S17" s="83"/>
      <c r="T17" s="83"/>
      <c r="U17" s="83"/>
      <c r="V17" s="83"/>
      <c r="W17" s="58"/>
    </row>
    <row r="18" spans="8:23" ht="15" customHeight="1" x14ac:dyDescent="0.25">
      <c r="H18" s="23" t="s">
        <v>119</v>
      </c>
      <c r="I18" s="24"/>
      <c r="J18" s="24"/>
      <c r="K18" s="24"/>
      <c r="L18" s="24"/>
      <c r="M18" s="24"/>
      <c r="N18" s="24"/>
      <c r="O18" s="25"/>
      <c r="P18" s="59" t="str">
        <f>IF(Planilha5!P14&lt;=0,Planilha2!B106,Planilha5!P14)</f>
        <v>Defina se o SXX vai trabalhar afogado ou não</v>
      </c>
      <c r="Q18" s="60"/>
      <c r="R18" s="60"/>
      <c r="S18" s="60"/>
      <c r="T18" s="60"/>
      <c r="U18" s="60"/>
      <c r="V18" s="60"/>
      <c r="W18" s="57"/>
    </row>
    <row r="19" spans="8:23" ht="15" customHeight="1" x14ac:dyDescent="0.25">
      <c r="H19" s="26"/>
      <c r="I19" s="27"/>
      <c r="J19" s="27"/>
      <c r="K19" s="27"/>
      <c r="L19" s="27"/>
      <c r="M19" s="27"/>
      <c r="N19" s="27"/>
      <c r="O19" s="28"/>
      <c r="P19" s="61"/>
      <c r="Q19" s="62"/>
      <c r="R19" s="62"/>
      <c r="S19" s="62"/>
      <c r="T19" s="62"/>
      <c r="U19" s="62"/>
      <c r="V19" s="62"/>
      <c r="W19" s="58"/>
    </row>
    <row r="20" spans="8:23" ht="15" customHeight="1" x14ac:dyDescent="0.25">
      <c r="H20" s="33" t="s">
        <v>120</v>
      </c>
      <c r="I20" s="34"/>
      <c r="J20" s="34"/>
      <c r="K20" s="34"/>
      <c r="L20" s="34"/>
      <c r="M20" s="34"/>
      <c r="N20" s="34"/>
      <c r="O20" s="35"/>
      <c r="P20" s="59" t="str">
        <f>IF(Planilha5!P16&lt;=0,Planilha2!B116,Planilha5!P16)</f>
        <v>Defina o Layout do StormBrixx, por favor.</v>
      </c>
      <c r="Q20" s="60"/>
      <c r="R20" s="60"/>
      <c r="S20" s="60"/>
      <c r="T20" s="60"/>
      <c r="U20" s="60"/>
      <c r="V20" s="60"/>
      <c r="W20" s="57"/>
    </row>
    <row r="21" spans="8:23" ht="15" customHeight="1" x14ac:dyDescent="0.25">
      <c r="H21" s="36"/>
      <c r="I21" s="37"/>
      <c r="J21" s="37"/>
      <c r="K21" s="37"/>
      <c r="L21" s="37"/>
      <c r="M21" s="37"/>
      <c r="N21" s="37"/>
      <c r="O21" s="38"/>
      <c r="P21" s="82"/>
      <c r="Q21" s="83"/>
      <c r="R21" s="83"/>
      <c r="S21" s="83"/>
      <c r="T21" s="83"/>
      <c r="U21" s="83"/>
      <c r="V21" s="83"/>
      <c r="W21" s="58"/>
    </row>
    <row r="22" spans="8:23" ht="15" customHeight="1" x14ac:dyDescent="0.25">
      <c r="H22" s="16" t="s">
        <v>121</v>
      </c>
      <c r="I22" s="16"/>
      <c r="J22" s="16"/>
      <c r="K22" s="16"/>
      <c r="L22" s="16"/>
      <c r="M22" s="16"/>
      <c r="N22" s="16"/>
      <c r="O22" s="16"/>
      <c r="P22" s="64" t="str">
        <f>IF(Planilha2!M45&lt;=0,Planilha2!B28,Planilha2!M45)</f>
        <v>Defina as dimensões do StormBrixx, por favor.</v>
      </c>
      <c r="Q22" s="65"/>
      <c r="R22" s="65"/>
      <c r="S22" s="65"/>
      <c r="T22" s="65"/>
      <c r="U22" s="65"/>
      <c r="V22" s="65"/>
      <c r="W22" s="68" t="s">
        <v>3</v>
      </c>
    </row>
    <row r="23" spans="8:23" ht="15" customHeight="1" x14ac:dyDescent="0.25">
      <c r="H23" s="16"/>
      <c r="I23" s="16"/>
      <c r="J23" s="16"/>
      <c r="K23" s="16"/>
      <c r="L23" s="16"/>
      <c r="M23" s="16"/>
      <c r="N23" s="16"/>
      <c r="O23" s="16"/>
      <c r="P23" s="66"/>
      <c r="Q23" s="67"/>
      <c r="R23" s="67"/>
      <c r="S23" s="67"/>
      <c r="T23" s="67"/>
      <c r="U23" s="67"/>
      <c r="V23" s="67"/>
      <c r="W23" s="69"/>
    </row>
    <row r="24" spans="8:23" ht="15" customHeight="1" x14ac:dyDescent="0.25">
      <c r="H24" s="16" t="s">
        <v>122</v>
      </c>
      <c r="I24" s="16"/>
      <c r="J24" s="16"/>
      <c r="K24" s="16"/>
      <c r="L24" s="16"/>
      <c r="M24" s="16"/>
      <c r="N24" s="16"/>
      <c r="O24" s="16"/>
      <c r="P24" s="64" t="str">
        <f>IF(Planilha2!P45&lt;=0,Planilha2!B28,Planilha2!P45)</f>
        <v>Defina as dimensões do StormBrixx, por favor.</v>
      </c>
      <c r="Q24" s="65"/>
      <c r="R24" s="65"/>
      <c r="S24" s="65"/>
      <c r="T24" s="65"/>
      <c r="U24" s="65"/>
      <c r="V24" s="65"/>
      <c r="W24" s="68" t="s">
        <v>3</v>
      </c>
    </row>
    <row r="25" spans="8:23" ht="15" customHeight="1" x14ac:dyDescent="0.25">
      <c r="H25" s="16"/>
      <c r="I25" s="16"/>
      <c r="J25" s="16"/>
      <c r="K25" s="16"/>
      <c r="L25" s="16"/>
      <c r="M25" s="16"/>
      <c r="N25" s="16"/>
      <c r="O25" s="16"/>
      <c r="P25" s="66"/>
      <c r="Q25" s="67"/>
      <c r="R25" s="67"/>
      <c r="S25" s="67"/>
      <c r="T25" s="67"/>
      <c r="U25" s="67"/>
      <c r="V25" s="67"/>
      <c r="W25" s="69"/>
    </row>
    <row r="26" spans="8:23" ht="15" customHeight="1" x14ac:dyDescent="0.25">
      <c r="H26" s="16" t="s">
        <v>123</v>
      </c>
      <c r="I26" s="16"/>
      <c r="J26" s="16"/>
      <c r="K26" s="16"/>
      <c r="L26" s="16"/>
      <c r="M26" s="16"/>
      <c r="N26" s="16"/>
      <c r="O26" s="16"/>
      <c r="P26" s="64" t="str">
        <f>IF(Planilha5!P22&lt;=0,Planilha2!B25,Planilha5!P22)</f>
        <v>Defina a altura do StormBrixx, por favor.</v>
      </c>
      <c r="Q26" s="65"/>
      <c r="R26" s="65"/>
      <c r="S26" s="65"/>
      <c r="T26" s="65"/>
      <c r="U26" s="65"/>
      <c r="V26" s="65"/>
      <c r="W26" s="68" t="s">
        <v>3</v>
      </c>
    </row>
    <row r="27" spans="8:23" ht="15" customHeight="1" x14ac:dyDescent="0.25">
      <c r="H27" s="16"/>
      <c r="I27" s="16"/>
      <c r="J27" s="16"/>
      <c r="K27" s="16"/>
      <c r="L27" s="16"/>
      <c r="M27" s="16"/>
      <c r="N27" s="16"/>
      <c r="O27" s="16"/>
      <c r="P27" s="66"/>
      <c r="Q27" s="67"/>
      <c r="R27" s="67"/>
      <c r="S27" s="67"/>
      <c r="T27" s="67"/>
      <c r="U27" s="67"/>
      <c r="V27" s="67"/>
      <c r="W27" s="69"/>
    </row>
    <row r="28" spans="8:23" ht="15" customHeight="1" x14ac:dyDescent="0.25">
      <c r="H28" s="16" t="s">
        <v>55</v>
      </c>
      <c r="I28" s="16"/>
      <c r="J28" s="16"/>
      <c r="K28" s="16"/>
      <c r="L28" s="16"/>
      <c r="M28" s="16"/>
      <c r="N28" s="16"/>
      <c r="O28" s="16"/>
      <c r="P28" s="64" t="str">
        <f>Planilha5!P26</f>
        <v>Defina a altura do StormBrixx, por favor.</v>
      </c>
      <c r="Q28" s="65"/>
      <c r="R28" s="65"/>
      <c r="S28" s="65"/>
      <c r="T28" s="65"/>
      <c r="U28" s="65"/>
      <c r="V28" s="65"/>
      <c r="W28" s="68"/>
    </row>
    <row r="29" spans="8:23" ht="15" customHeight="1" x14ac:dyDescent="0.25">
      <c r="H29" s="16"/>
      <c r="I29" s="16"/>
      <c r="J29" s="16"/>
      <c r="K29" s="16"/>
      <c r="L29" s="16"/>
      <c r="M29" s="16"/>
      <c r="N29" s="16"/>
      <c r="O29" s="16"/>
      <c r="P29" s="66"/>
      <c r="Q29" s="67"/>
      <c r="R29" s="67"/>
      <c r="S29" s="67"/>
      <c r="T29" s="67"/>
      <c r="U29" s="67"/>
      <c r="V29" s="67"/>
      <c r="W29" s="69"/>
    </row>
    <row r="30" spans="8:23" ht="15" customHeight="1" x14ac:dyDescent="0.25">
      <c r="H30" s="16" t="s">
        <v>54</v>
      </c>
      <c r="I30" s="16"/>
      <c r="J30" s="16"/>
      <c r="K30" s="16"/>
      <c r="L30" s="16"/>
      <c r="M30" s="16"/>
      <c r="N30" s="16"/>
      <c r="O30" s="16"/>
      <c r="P30" s="70" t="str">
        <f>Planilha5!P32</f>
        <v>Defina as dimensões do StormBrixx, por favor.</v>
      </c>
      <c r="Q30" s="65"/>
      <c r="R30" s="65"/>
      <c r="S30" s="65"/>
      <c r="T30" s="65"/>
      <c r="U30" s="65"/>
      <c r="V30" s="65"/>
      <c r="W30" s="68" t="s">
        <v>26</v>
      </c>
    </row>
    <row r="31" spans="8:23" ht="15" customHeight="1" x14ac:dyDescent="0.25">
      <c r="H31" s="16"/>
      <c r="I31" s="16"/>
      <c r="J31" s="16"/>
      <c r="K31" s="16"/>
      <c r="L31" s="16"/>
      <c r="M31" s="16"/>
      <c r="N31" s="16"/>
      <c r="O31" s="16"/>
      <c r="P31" s="66"/>
      <c r="Q31" s="67"/>
      <c r="R31" s="67"/>
      <c r="S31" s="67"/>
      <c r="T31" s="67"/>
      <c r="U31" s="67"/>
      <c r="V31" s="67"/>
      <c r="W31" s="69"/>
    </row>
    <row r="32" spans="8:23" ht="15" customHeight="1" x14ac:dyDescent="0.25">
      <c r="H32" s="16" t="s">
        <v>53</v>
      </c>
      <c r="I32" s="16"/>
      <c r="J32" s="16"/>
      <c r="K32" s="16"/>
      <c r="L32" s="16"/>
      <c r="M32" s="16"/>
      <c r="N32" s="16"/>
      <c r="O32" s="16"/>
      <c r="P32" s="70" t="str">
        <f>Planilha5!P34</f>
        <v>Defina as dimensões do StormBrixx, por favor.</v>
      </c>
      <c r="Q32" s="65"/>
      <c r="R32" s="65"/>
      <c r="S32" s="65"/>
      <c r="T32" s="65"/>
      <c r="U32" s="65"/>
      <c r="V32" s="65"/>
      <c r="W32" s="68" t="s">
        <v>26</v>
      </c>
    </row>
    <row r="33" spans="8:23" ht="15" customHeight="1" x14ac:dyDescent="0.25">
      <c r="H33" s="16"/>
      <c r="I33" s="16"/>
      <c r="J33" s="16"/>
      <c r="K33" s="16"/>
      <c r="L33" s="16"/>
      <c r="M33" s="16"/>
      <c r="N33" s="16"/>
      <c r="O33" s="16"/>
      <c r="P33" s="66"/>
      <c r="Q33" s="67"/>
      <c r="R33" s="67"/>
      <c r="S33" s="67"/>
      <c r="T33" s="67"/>
      <c r="U33" s="67"/>
      <c r="V33" s="67"/>
      <c r="W33" s="69"/>
    </row>
    <row r="34" spans="8:23" x14ac:dyDescent="0.25">
      <c r="H34" s="16" t="s">
        <v>52</v>
      </c>
      <c r="I34" s="16"/>
      <c r="J34" s="16"/>
      <c r="K34" s="16"/>
      <c r="L34" s="16"/>
      <c r="M34" s="16"/>
      <c r="N34" s="16"/>
      <c r="O34" s="16"/>
      <c r="P34" s="64" t="str">
        <f>IF(Planilha4!P16&lt;=0,"Defina a altura do recobrimento, por favor.",Planilha4!P16)</f>
        <v>Defina a altura do recobrimento, por favor.</v>
      </c>
      <c r="Q34" s="65"/>
      <c r="R34" s="65"/>
      <c r="S34" s="65"/>
      <c r="T34" s="65"/>
      <c r="U34" s="65"/>
      <c r="V34" s="65"/>
      <c r="W34" s="68" t="s">
        <v>3</v>
      </c>
    </row>
    <row r="35" spans="8:23" x14ac:dyDescent="0.25">
      <c r="H35" s="16"/>
      <c r="I35" s="16"/>
      <c r="J35" s="16"/>
      <c r="K35" s="16"/>
      <c r="L35" s="16"/>
      <c r="M35" s="16"/>
      <c r="N35" s="16"/>
      <c r="O35" s="16"/>
      <c r="P35" s="66"/>
      <c r="Q35" s="67"/>
      <c r="R35" s="67"/>
      <c r="S35" s="67"/>
      <c r="T35" s="67"/>
      <c r="U35" s="67"/>
      <c r="V35" s="67"/>
      <c r="W35" s="69"/>
    </row>
    <row r="36" spans="8:23" x14ac:dyDescent="0.25">
      <c r="H36" s="16" t="s">
        <v>57</v>
      </c>
      <c r="I36" s="16"/>
      <c r="J36" s="16"/>
      <c r="K36" s="16"/>
      <c r="L36" s="16"/>
      <c r="M36" s="16"/>
      <c r="N36" s="16"/>
      <c r="O36" s="16"/>
      <c r="P36" s="70" t="str">
        <f>IF(P12="Infiltração",0,IF(P20=Planilha2!G3,Planilha2!U132,IF(Planilha6!P20=Planilha2!G4,Planilha2!T48,Planilha2!B28)))</f>
        <v>Defina as dimensões do StormBrixx, por favor.</v>
      </c>
      <c r="Q36" s="71"/>
      <c r="R36" s="71"/>
      <c r="S36" s="71"/>
      <c r="T36" s="71"/>
      <c r="U36" s="71"/>
      <c r="V36" s="71"/>
      <c r="W36" s="68" t="s">
        <v>56</v>
      </c>
    </row>
    <row r="37" spans="8:23" x14ac:dyDescent="0.25">
      <c r="H37" s="16"/>
      <c r="I37" s="16"/>
      <c r="J37" s="16"/>
      <c r="K37" s="16"/>
      <c r="L37" s="16"/>
      <c r="M37" s="16"/>
      <c r="N37" s="16"/>
      <c r="O37" s="16"/>
      <c r="P37" s="72"/>
      <c r="Q37" s="73"/>
      <c r="R37" s="73"/>
      <c r="S37" s="73"/>
      <c r="T37" s="73"/>
      <c r="U37" s="73"/>
      <c r="V37" s="73"/>
      <c r="W37" s="69"/>
    </row>
    <row r="38" spans="8:23" x14ac:dyDescent="0.25">
      <c r="H38" s="16" t="s">
        <v>58</v>
      </c>
      <c r="I38" s="16"/>
      <c r="J38" s="16"/>
      <c r="K38" s="16"/>
      <c r="L38" s="16"/>
      <c r="M38" s="16"/>
      <c r="N38" s="16"/>
      <c r="O38" s="16"/>
      <c r="P38" s="70" t="str">
        <f>IF(P20=Planilha2!G3,Planilha2!W132,IF(Planilha6!P20=Planilha2!G4,Planilha2!V48,Planilha2!B28))</f>
        <v>Defina as dimensões do StormBrixx, por favor.</v>
      </c>
      <c r="Q38" s="71"/>
      <c r="R38" s="71"/>
      <c r="S38" s="71"/>
      <c r="T38" s="71"/>
      <c r="U38" s="71"/>
      <c r="V38" s="71"/>
      <c r="W38" s="68" t="s">
        <v>56</v>
      </c>
    </row>
    <row r="39" spans="8:23" x14ac:dyDescent="0.25">
      <c r="H39" s="16"/>
      <c r="I39" s="16"/>
      <c r="J39" s="16"/>
      <c r="K39" s="16"/>
      <c r="L39" s="16"/>
      <c r="M39" s="16"/>
      <c r="N39" s="16"/>
      <c r="O39" s="16"/>
      <c r="P39" s="72"/>
      <c r="Q39" s="73"/>
      <c r="R39" s="73"/>
      <c r="S39" s="73"/>
      <c r="T39" s="73"/>
      <c r="U39" s="73"/>
      <c r="V39" s="73"/>
      <c r="W39" s="69"/>
    </row>
    <row r="44" spans="8:23" ht="15" customHeight="1" x14ac:dyDescent="0.25">
      <c r="Q44" s="74" t="str">
        <f>IF(P24=Planilha2!B28,"",Planilha6!P24)</f>
        <v/>
      </c>
    </row>
    <row r="45" spans="8:23" ht="15.75" x14ac:dyDescent="0.25">
      <c r="N45" s="8" t="str">
        <f>IF(P22=Planilha2!B28,"",Planilha6!P22)</f>
        <v/>
      </c>
      <c r="Q45" s="74"/>
    </row>
    <row r="51" spans="12:12" x14ac:dyDescent="0.25">
      <c r="L51" s="63" t="str">
        <f>IF(P26=Planilha2!B83,"",Planilha6!P26)</f>
        <v/>
      </c>
    </row>
    <row r="52" spans="12:12" x14ac:dyDescent="0.25">
      <c r="L52" s="63"/>
    </row>
    <row r="65" spans="8:23" ht="21" x14ac:dyDescent="0.35">
      <c r="H65" s="18" t="s">
        <v>65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8:23" ht="15" customHeight="1" x14ac:dyDescent="0.25">
      <c r="H66" s="75" t="s">
        <v>66</v>
      </c>
      <c r="I66" s="76"/>
      <c r="J66" s="75" t="s">
        <v>70</v>
      </c>
      <c r="K66" s="79"/>
      <c r="L66" s="79"/>
      <c r="M66" s="79"/>
      <c r="N66" s="79"/>
      <c r="O66" s="79"/>
      <c r="P66" s="79"/>
      <c r="Q66" s="76"/>
      <c r="R66" s="75" t="s">
        <v>67</v>
      </c>
      <c r="S66" s="76"/>
      <c r="T66" s="75" t="s">
        <v>68</v>
      </c>
      <c r="U66" s="76"/>
      <c r="V66" s="75" t="s">
        <v>69</v>
      </c>
      <c r="W66" s="76"/>
    </row>
    <row r="67" spans="8:23" ht="15" customHeight="1" x14ac:dyDescent="0.25">
      <c r="H67" s="77"/>
      <c r="I67" s="78"/>
      <c r="J67" s="77"/>
      <c r="K67" s="80"/>
      <c r="L67" s="80"/>
      <c r="M67" s="80"/>
      <c r="N67" s="80"/>
      <c r="O67" s="80"/>
      <c r="P67" s="80"/>
      <c r="Q67" s="78"/>
      <c r="R67" s="77"/>
      <c r="S67" s="78"/>
      <c r="T67" s="77"/>
      <c r="U67" s="78"/>
      <c r="V67" s="77"/>
      <c r="W67" s="78"/>
    </row>
    <row r="68" spans="8:23" ht="15" customHeight="1" x14ac:dyDescent="0.25">
      <c r="H68" s="84" t="str">
        <f>IF(P16=Planilha2!B11,314090,IF(Planilha6!P16=Planilha2!B12,314154,"&gt;&gt;&gt;"))</f>
        <v>&gt;&gt;&gt;</v>
      </c>
      <c r="I68" s="85"/>
      <c r="J68" s="97"/>
      <c r="K68" s="98"/>
      <c r="L68" s="98"/>
      <c r="M68" s="24" t="str">
        <f>IF(H68=314090,"Meio-Modulo SD900",IF(H68=314154,"Meio-Modulo HD900",Planilha2!B91))</f>
        <v>Faça o pré-dimensionamento.</v>
      </c>
      <c r="N68" s="24"/>
      <c r="O68" s="24"/>
      <c r="P68" s="24"/>
      <c r="Q68" s="25"/>
      <c r="R68" s="59" t="str">
        <f>Planilha2!L138</f>
        <v>&lt;&lt;&lt;</v>
      </c>
      <c r="S68" s="57"/>
      <c r="T68" s="91" t="str">
        <f>IF(M68=Planilha2!B93,12.3,IF(M68=Planilha2!B92,9.41,"&lt;&lt;&lt;"))</f>
        <v>&lt;&lt;&lt;</v>
      </c>
      <c r="U68" s="92"/>
      <c r="V68" s="91" t="str">
        <f>IF(AND(T68&lt;&gt;"&lt;&lt;&lt;",R68&lt;&gt;"&lt;&lt;&lt;"),R68*T68,"&lt;&lt;&lt;")</f>
        <v>&lt;&lt;&lt;</v>
      </c>
      <c r="W68" s="92"/>
    </row>
    <row r="69" spans="8:23" ht="15" customHeight="1" x14ac:dyDescent="0.25">
      <c r="H69" s="86"/>
      <c r="I69" s="87"/>
      <c r="J69" s="99"/>
      <c r="K69" s="100"/>
      <c r="L69" s="100"/>
      <c r="M69" s="103"/>
      <c r="N69" s="103"/>
      <c r="O69" s="103"/>
      <c r="P69" s="103"/>
      <c r="Q69" s="104"/>
      <c r="R69" s="61"/>
      <c r="S69" s="90"/>
      <c r="T69" s="93"/>
      <c r="U69" s="94"/>
      <c r="V69" s="93"/>
      <c r="W69" s="94"/>
    </row>
    <row r="70" spans="8:23" ht="15" customHeight="1" x14ac:dyDescent="0.25">
      <c r="H70" s="86"/>
      <c r="I70" s="87"/>
      <c r="J70" s="99"/>
      <c r="K70" s="100"/>
      <c r="L70" s="100"/>
      <c r="M70" s="103"/>
      <c r="N70" s="103"/>
      <c r="O70" s="103"/>
      <c r="P70" s="103"/>
      <c r="Q70" s="104"/>
      <c r="R70" s="61"/>
      <c r="S70" s="90"/>
      <c r="T70" s="93"/>
      <c r="U70" s="94"/>
      <c r="V70" s="93"/>
      <c r="W70" s="94"/>
    </row>
    <row r="71" spans="8:23" ht="15" customHeight="1" x14ac:dyDescent="0.25">
      <c r="H71" s="86"/>
      <c r="I71" s="87"/>
      <c r="J71" s="99"/>
      <c r="K71" s="100"/>
      <c r="L71" s="100"/>
      <c r="M71" s="103"/>
      <c r="N71" s="103"/>
      <c r="O71" s="103"/>
      <c r="P71" s="103"/>
      <c r="Q71" s="104"/>
      <c r="R71" s="61"/>
      <c r="S71" s="90"/>
      <c r="T71" s="93"/>
      <c r="U71" s="94"/>
      <c r="V71" s="93"/>
      <c r="W71" s="94"/>
    </row>
    <row r="72" spans="8:23" ht="15" customHeight="1" x14ac:dyDescent="0.25">
      <c r="H72" s="86"/>
      <c r="I72" s="87"/>
      <c r="J72" s="99"/>
      <c r="K72" s="100"/>
      <c r="L72" s="100"/>
      <c r="M72" s="103"/>
      <c r="N72" s="103"/>
      <c r="O72" s="103"/>
      <c r="P72" s="103"/>
      <c r="Q72" s="104"/>
      <c r="R72" s="61"/>
      <c r="S72" s="90"/>
      <c r="T72" s="93"/>
      <c r="U72" s="94"/>
      <c r="V72" s="93"/>
      <c r="W72" s="94"/>
    </row>
    <row r="73" spans="8:23" ht="15" customHeight="1" x14ac:dyDescent="0.25">
      <c r="H73" s="88"/>
      <c r="I73" s="89"/>
      <c r="J73" s="101"/>
      <c r="K73" s="102"/>
      <c r="L73" s="102"/>
      <c r="M73" s="27"/>
      <c r="N73" s="27"/>
      <c r="O73" s="27"/>
      <c r="P73" s="27"/>
      <c r="Q73" s="28"/>
      <c r="R73" s="82"/>
      <c r="S73" s="58"/>
      <c r="T73" s="95"/>
      <c r="U73" s="96"/>
      <c r="V73" s="95"/>
      <c r="W73" s="96"/>
    </row>
    <row r="74" spans="8:23" ht="15" customHeight="1" x14ac:dyDescent="0.25">
      <c r="H74" s="84">
        <v>314091</v>
      </c>
      <c r="I74" s="85"/>
      <c r="J74" s="97"/>
      <c r="K74" s="98"/>
      <c r="L74" s="98"/>
      <c r="M74" s="24" t="s">
        <v>72</v>
      </c>
      <c r="N74" s="24"/>
      <c r="O74" s="24"/>
      <c r="P74" s="24"/>
      <c r="Q74" s="25"/>
      <c r="R74" s="59" t="str">
        <f>Planilha2!L139</f>
        <v>&lt;&lt;&lt;</v>
      </c>
      <c r="S74" s="57"/>
      <c r="T74" s="91">
        <v>3.13</v>
      </c>
      <c r="U74" s="92"/>
      <c r="V74" s="91" t="str">
        <f>IF(R74&lt;&gt;"&lt;&lt;&lt;",R74*T74,"&lt;&lt;&lt;")</f>
        <v>&lt;&lt;&lt;</v>
      </c>
      <c r="W74" s="92"/>
    </row>
    <row r="75" spans="8:23" ht="15" customHeight="1" x14ac:dyDescent="0.25">
      <c r="H75" s="86"/>
      <c r="I75" s="87"/>
      <c r="J75" s="99"/>
      <c r="K75" s="100"/>
      <c r="L75" s="100"/>
      <c r="M75" s="103"/>
      <c r="N75" s="103"/>
      <c r="O75" s="103"/>
      <c r="P75" s="103"/>
      <c r="Q75" s="104"/>
      <c r="R75" s="61"/>
      <c r="S75" s="90"/>
      <c r="T75" s="93"/>
      <c r="U75" s="94"/>
      <c r="V75" s="93"/>
      <c r="W75" s="94"/>
    </row>
    <row r="76" spans="8:23" ht="15" customHeight="1" x14ac:dyDescent="0.25">
      <c r="H76" s="86"/>
      <c r="I76" s="87"/>
      <c r="J76" s="99"/>
      <c r="K76" s="100"/>
      <c r="L76" s="100"/>
      <c r="M76" s="103"/>
      <c r="N76" s="103"/>
      <c r="O76" s="103"/>
      <c r="P76" s="103"/>
      <c r="Q76" s="104"/>
      <c r="R76" s="61"/>
      <c r="S76" s="90"/>
      <c r="T76" s="93"/>
      <c r="U76" s="94"/>
      <c r="V76" s="93"/>
      <c r="W76" s="94"/>
    </row>
    <row r="77" spans="8:23" ht="15" customHeight="1" x14ac:dyDescent="0.25">
      <c r="H77" s="86"/>
      <c r="I77" s="87"/>
      <c r="J77" s="99"/>
      <c r="K77" s="100"/>
      <c r="L77" s="100"/>
      <c r="M77" s="103"/>
      <c r="N77" s="103"/>
      <c r="O77" s="103"/>
      <c r="P77" s="103"/>
      <c r="Q77" s="104"/>
      <c r="R77" s="61"/>
      <c r="S77" s="90"/>
      <c r="T77" s="93"/>
      <c r="U77" s="94"/>
      <c r="V77" s="93"/>
      <c r="W77" s="94"/>
    </row>
    <row r="78" spans="8:23" ht="15" customHeight="1" x14ac:dyDescent="0.25">
      <c r="H78" s="86"/>
      <c r="I78" s="87"/>
      <c r="J78" s="99"/>
      <c r="K78" s="100"/>
      <c r="L78" s="100"/>
      <c r="M78" s="103"/>
      <c r="N78" s="103"/>
      <c r="O78" s="103"/>
      <c r="P78" s="103"/>
      <c r="Q78" s="104"/>
      <c r="R78" s="61"/>
      <c r="S78" s="90"/>
      <c r="T78" s="93"/>
      <c r="U78" s="94"/>
      <c r="V78" s="93"/>
      <c r="W78" s="94"/>
    </row>
    <row r="79" spans="8:23" ht="15" customHeight="1" x14ac:dyDescent="0.25">
      <c r="H79" s="88"/>
      <c r="I79" s="89"/>
      <c r="J79" s="101"/>
      <c r="K79" s="102"/>
      <c r="L79" s="102"/>
      <c r="M79" s="27"/>
      <c r="N79" s="27"/>
      <c r="O79" s="27"/>
      <c r="P79" s="27"/>
      <c r="Q79" s="28"/>
      <c r="R79" s="82"/>
      <c r="S79" s="58"/>
      <c r="T79" s="95"/>
      <c r="U79" s="96"/>
      <c r="V79" s="95"/>
      <c r="W79" s="96"/>
    </row>
    <row r="80" spans="8:23" ht="15" customHeight="1" x14ac:dyDescent="0.25">
      <c r="H80" s="84">
        <v>314092</v>
      </c>
      <c r="I80" s="85"/>
      <c r="J80" s="97"/>
      <c r="K80" s="98"/>
      <c r="L80" s="98"/>
      <c r="M80" s="24" t="s">
        <v>73</v>
      </c>
      <c r="N80" s="24"/>
      <c r="O80" s="24"/>
      <c r="P80" s="24"/>
      <c r="Q80" s="25"/>
      <c r="R80" s="59" t="str">
        <f>Planilha2!H88</f>
        <v>&lt;&lt;&lt;</v>
      </c>
      <c r="S80" s="57"/>
      <c r="T80" s="91">
        <v>0.76</v>
      </c>
      <c r="U80" s="92"/>
      <c r="V80" s="91" t="str">
        <f>IF(R80&lt;&gt;"&lt;&lt;&lt;",R80*T80,"&lt;&lt;&lt;")</f>
        <v>&lt;&lt;&lt;</v>
      </c>
      <c r="W80" s="92"/>
    </row>
    <row r="81" spans="8:23" ht="15" customHeight="1" x14ac:dyDescent="0.25">
      <c r="H81" s="86"/>
      <c r="I81" s="87"/>
      <c r="J81" s="99"/>
      <c r="K81" s="100"/>
      <c r="L81" s="100"/>
      <c r="M81" s="103"/>
      <c r="N81" s="103"/>
      <c r="O81" s="103"/>
      <c r="P81" s="103"/>
      <c r="Q81" s="104"/>
      <c r="R81" s="61"/>
      <c r="S81" s="90"/>
      <c r="T81" s="93"/>
      <c r="U81" s="94"/>
      <c r="V81" s="93"/>
      <c r="W81" s="94"/>
    </row>
    <row r="82" spans="8:23" ht="15" customHeight="1" x14ac:dyDescent="0.25">
      <c r="H82" s="86"/>
      <c r="I82" s="87"/>
      <c r="J82" s="99"/>
      <c r="K82" s="100"/>
      <c r="L82" s="100"/>
      <c r="M82" s="103"/>
      <c r="N82" s="103"/>
      <c r="O82" s="103"/>
      <c r="P82" s="103"/>
      <c r="Q82" s="104"/>
      <c r="R82" s="61"/>
      <c r="S82" s="90"/>
      <c r="T82" s="93"/>
      <c r="U82" s="94"/>
      <c r="V82" s="93"/>
      <c r="W82" s="94"/>
    </row>
    <row r="83" spans="8:23" ht="15" customHeight="1" x14ac:dyDescent="0.25">
      <c r="H83" s="86"/>
      <c r="I83" s="87"/>
      <c r="J83" s="99"/>
      <c r="K83" s="100"/>
      <c r="L83" s="100"/>
      <c r="M83" s="103"/>
      <c r="N83" s="103"/>
      <c r="O83" s="103"/>
      <c r="P83" s="103"/>
      <c r="Q83" s="104"/>
      <c r="R83" s="61"/>
      <c r="S83" s="90"/>
      <c r="T83" s="93"/>
      <c r="U83" s="94"/>
      <c r="V83" s="93"/>
      <c r="W83" s="94"/>
    </row>
    <row r="84" spans="8:23" ht="15" customHeight="1" x14ac:dyDescent="0.25">
      <c r="H84" s="86"/>
      <c r="I84" s="87"/>
      <c r="J84" s="99"/>
      <c r="K84" s="100"/>
      <c r="L84" s="100"/>
      <c r="M84" s="103"/>
      <c r="N84" s="103"/>
      <c r="O84" s="103"/>
      <c r="P84" s="103"/>
      <c r="Q84" s="104"/>
      <c r="R84" s="61"/>
      <c r="S84" s="90"/>
      <c r="T84" s="93"/>
      <c r="U84" s="94"/>
      <c r="V84" s="93"/>
      <c r="W84" s="94"/>
    </row>
    <row r="85" spans="8:23" ht="15" customHeight="1" x14ac:dyDescent="0.25">
      <c r="H85" s="88"/>
      <c r="I85" s="89"/>
      <c r="J85" s="101"/>
      <c r="K85" s="102"/>
      <c r="L85" s="102"/>
      <c r="M85" s="27"/>
      <c r="N85" s="27"/>
      <c r="O85" s="27"/>
      <c r="P85" s="27"/>
      <c r="Q85" s="28"/>
      <c r="R85" s="82"/>
      <c r="S85" s="58"/>
      <c r="T85" s="95"/>
      <c r="U85" s="96"/>
      <c r="V85" s="95"/>
      <c r="W85" s="96"/>
    </row>
    <row r="86" spans="8:23" ht="15" customHeight="1" x14ac:dyDescent="0.25">
      <c r="H86" s="84">
        <v>314093</v>
      </c>
      <c r="I86" s="85"/>
      <c r="J86" s="97"/>
      <c r="K86" s="98"/>
      <c r="L86" s="98"/>
      <c r="M86" s="24" t="s">
        <v>78</v>
      </c>
      <c r="N86" s="24"/>
      <c r="O86" s="24"/>
      <c r="P86" s="24"/>
      <c r="Q86" s="25"/>
      <c r="R86" s="59" t="str">
        <f>Planilha2!L141</f>
        <v>&lt;&lt;&lt;</v>
      </c>
      <c r="S86" s="57"/>
      <c r="T86" s="91">
        <v>0.01</v>
      </c>
      <c r="U86" s="92"/>
      <c r="V86" s="91" t="str">
        <f>IF(R86&lt;&gt;"&lt;&lt;&lt;",R86*T86,"&lt;&lt;&lt;")</f>
        <v>&lt;&lt;&lt;</v>
      </c>
      <c r="W86" s="92"/>
    </row>
    <row r="87" spans="8:23" ht="15" customHeight="1" x14ac:dyDescent="0.25">
      <c r="H87" s="86"/>
      <c r="I87" s="87"/>
      <c r="J87" s="99"/>
      <c r="K87" s="100"/>
      <c r="L87" s="100"/>
      <c r="M87" s="103"/>
      <c r="N87" s="103"/>
      <c r="O87" s="103"/>
      <c r="P87" s="103"/>
      <c r="Q87" s="104"/>
      <c r="R87" s="61"/>
      <c r="S87" s="90"/>
      <c r="T87" s="93"/>
      <c r="U87" s="94"/>
      <c r="V87" s="93"/>
      <c r="W87" s="94"/>
    </row>
    <row r="88" spans="8:23" ht="15" customHeight="1" x14ac:dyDescent="0.25">
      <c r="H88" s="86"/>
      <c r="I88" s="87"/>
      <c r="J88" s="99"/>
      <c r="K88" s="100"/>
      <c r="L88" s="100"/>
      <c r="M88" s="103"/>
      <c r="N88" s="103"/>
      <c r="O88" s="103"/>
      <c r="P88" s="103"/>
      <c r="Q88" s="104"/>
      <c r="R88" s="61"/>
      <c r="S88" s="90"/>
      <c r="T88" s="93"/>
      <c r="U88" s="94"/>
      <c r="V88" s="93"/>
      <c r="W88" s="94"/>
    </row>
    <row r="89" spans="8:23" ht="15" customHeight="1" x14ac:dyDescent="0.25">
      <c r="H89" s="86"/>
      <c r="I89" s="87"/>
      <c r="J89" s="99"/>
      <c r="K89" s="100"/>
      <c r="L89" s="100"/>
      <c r="M89" s="103"/>
      <c r="N89" s="103"/>
      <c r="O89" s="103"/>
      <c r="P89" s="103"/>
      <c r="Q89" s="104"/>
      <c r="R89" s="61"/>
      <c r="S89" s="90"/>
      <c r="T89" s="93"/>
      <c r="U89" s="94"/>
      <c r="V89" s="93"/>
      <c r="W89" s="94"/>
    </row>
    <row r="90" spans="8:23" ht="15" customHeight="1" x14ac:dyDescent="0.25">
      <c r="H90" s="86"/>
      <c r="I90" s="87"/>
      <c r="J90" s="99"/>
      <c r="K90" s="100"/>
      <c r="L90" s="100"/>
      <c r="M90" s="103"/>
      <c r="N90" s="103"/>
      <c r="O90" s="103"/>
      <c r="P90" s="103"/>
      <c r="Q90" s="104"/>
      <c r="R90" s="61"/>
      <c r="S90" s="90"/>
      <c r="T90" s="93"/>
      <c r="U90" s="94"/>
      <c r="V90" s="93"/>
      <c r="W90" s="94"/>
    </row>
    <row r="91" spans="8:23" ht="15" customHeight="1" x14ac:dyDescent="0.25">
      <c r="H91" s="88"/>
      <c r="I91" s="89"/>
      <c r="J91" s="101"/>
      <c r="K91" s="102"/>
      <c r="L91" s="102"/>
      <c r="M91" s="27"/>
      <c r="N91" s="27"/>
      <c r="O91" s="27"/>
      <c r="P91" s="27"/>
      <c r="Q91" s="28"/>
      <c r="R91" s="82"/>
      <c r="S91" s="58"/>
      <c r="T91" s="95"/>
      <c r="U91" s="96"/>
      <c r="V91" s="95"/>
      <c r="W91" s="96"/>
    </row>
    <row r="92" spans="8:23" ht="15" customHeight="1" x14ac:dyDescent="0.25">
      <c r="H92" s="84">
        <v>314075</v>
      </c>
      <c r="I92" s="85"/>
      <c r="J92" s="97"/>
      <c r="K92" s="98"/>
      <c r="L92" s="98"/>
      <c r="M92" s="24" t="s">
        <v>74</v>
      </c>
      <c r="N92" s="24"/>
      <c r="O92" s="24"/>
      <c r="P92" s="24"/>
      <c r="Q92" s="25"/>
      <c r="R92" s="64" t="str">
        <f>Planilha2!M72</f>
        <v>&lt;&lt;&lt;</v>
      </c>
      <c r="S92" s="105"/>
      <c r="T92" s="91">
        <v>4.74</v>
      </c>
      <c r="U92" s="92"/>
      <c r="V92" s="91" t="str">
        <f>IF(R92="&lt;&lt;&lt;","&lt;&lt;&lt;",IF(R92=Planilha2!B106,"&lt;&lt;&lt;",R92*T92))</f>
        <v>&lt;&lt;&lt;</v>
      </c>
      <c r="W92" s="92"/>
    </row>
    <row r="93" spans="8:23" ht="15" customHeight="1" x14ac:dyDescent="0.25">
      <c r="H93" s="86"/>
      <c r="I93" s="87"/>
      <c r="J93" s="99"/>
      <c r="K93" s="100"/>
      <c r="L93" s="100"/>
      <c r="M93" s="103"/>
      <c r="N93" s="103"/>
      <c r="O93" s="103"/>
      <c r="P93" s="103"/>
      <c r="Q93" s="104"/>
      <c r="R93" s="106"/>
      <c r="S93" s="107"/>
      <c r="T93" s="93"/>
      <c r="U93" s="94"/>
      <c r="V93" s="93"/>
      <c r="W93" s="94"/>
    </row>
    <row r="94" spans="8:23" ht="15" customHeight="1" x14ac:dyDescent="0.25">
      <c r="H94" s="86"/>
      <c r="I94" s="87"/>
      <c r="J94" s="99"/>
      <c r="K94" s="100"/>
      <c r="L94" s="100"/>
      <c r="M94" s="103"/>
      <c r="N94" s="103"/>
      <c r="O94" s="103"/>
      <c r="P94" s="103"/>
      <c r="Q94" s="104"/>
      <c r="R94" s="106"/>
      <c r="S94" s="107"/>
      <c r="T94" s="93"/>
      <c r="U94" s="94"/>
      <c r="V94" s="93"/>
      <c r="W94" s="94"/>
    </row>
    <row r="95" spans="8:23" ht="15" customHeight="1" x14ac:dyDescent="0.25">
      <c r="H95" s="86"/>
      <c r="I95" s="87"/>
      <c r="J95" s="99"/>
      <c r="K95" s="100"/>
      <c r="L95" s="100"/>
      <c r="M95" s="103"/>
      <c r="N95" s="103"/>
      <c r="O95" s="103"/>
      <c r="P95" s="103"/>
      <c r="Q95" s="104"/>
      <c r="R95" s="106"/>
      <c r="S95" s="107"/>
      <c r="T95" s="93"/>
      <c r="U95" s="94"/>
      <c r="V95" s="93"/>
      <c r="W95" s="94"/>
    </row>
    <row r="96" spans="8:23" ht="15" customHeight="1" x14ac:dyDescent="0.25">
      <c r="H96" s="86"/>
      <c r="I96" s="87"/>
      <c r="J96" s="99"/>
      <c r="K96" s="100"/>
      <c r="L96" s="100"/>
      <c r="M96" s="103"/>
      <c r="N96" s="103"/>
      <c r="O96" s="103"/>
      <c r="P96" s="103"/>
      <c r="Q96" s="104"/>
      <c r="R96" s="106"/>
      <c r="S96" s="107"/>
      <c r="T96" s="93"/>
      <c r="U96" s="94"/>
      <c r="V96" s="93"/>
      <c r="W96" s="94"/>
    </row>
    <row r="97" spans="8:23" ht="15" customHeight="1" x14ac:dyDescent="0.25">
      <c r="H97" s="88"/>
      <c r="I97" s="89"/>
      <c r="J97" s="101"/>
      <c r="K97" s="102"/>
      <c r="L97" s="102"/>
      <c r="M97" s="27"/>
      <c r="N97" s="27"/>
      <c r="O97" s="27"/>
      <c r="P97" s="27"/>
      <c r="Q97" s="28"/>
      <c r="R97" s="66"/>
      <c r="S97" s="108"/>
      <c r="T97" s="95"/>
      <c r="U97" s="96"/>
      <c r="V97" s="95"/>
      <c r="W97" s="96"/>
    </row>
    <row r="98" spans="8:23" ht="15" customHeight="1" x14ac:dyDescent="0.25">
      <c r="H98" s="84">
        <v>314038</v>
      </c>
      <c r="I98" s="85"/>
      <c r="J98" s="97"/>
      <c r="K98" s="98"/>
      <c r="L98" s="98"/>
      <c r="M98" s="24" t="s">
        <v>75</v>
      </c>
      <c r="N98" s="24"/>
      <c r="O98" s="24"/>
      <c r="P98" s="24"/>
      <c r="Q98" s="25"/>
      <c r="R98" s="59" t="str">
        <f>Planilha2!K88</f>
        <v>&lt;&lt;&lt;</v>
      </c>
      <c r="S98" s="57"/>
      <c r="T98" s="91">
        <v>2.6</v>
      </c>
      <c r="U98" s="92"/>
      <c r="V98" s="91" t="str">
        <f>IF(R98&lt;&gt;"&lt;&lt;&lt;",R98*T98,"&lt;&lt;&lt;")</f>
        <v>&lt;&lt;&lt;</v>
      </c>
      <c r="W98" s="92"/>
    </row>
    <row r="99" spans="8:23" ht="15" customHeight="1" x14ac:dyDescent="0.25">
      <c r="H99" s="86"/>
      <c r="I99" s="87"/>
      <c r="J99" s="99"/>
      <c r="K99" s="100"/>
      <c r="L99" s="100"/>
      <c r="M99" s="103"/>
      <c r="N99" s="103"/>
      <c r="O99" s="103"/>
      <c r="P99" s="103"/>
      <c r="Q99" s="104"/>
      <c r="R99" s="61"/>
      <c r="S99" s="90"/>
      <c r="T99" s="93"/>
      <c r="U99" s="94"/>
      <c r="V99" s="93"/>
      <c r="W99" s="94"/>
    </row>
    <row r="100" spans="8:23" ht="15" customHeight="1" x14ac:dyDescent="0.25">
      <c r="H100" s="86"/>
      <c r="I100" s="87"/>
      <c r="J100" s="99"/>
      <c r="K100" s="100"/>
      <c r="L100" s="100"/>
      <c r="M100" s="103"/>
      <c r="N100" s="103"/>
      <c r="O100" s="103"/>
      <c r="P100" s="103"/>
      <c r="Q100" s="104"/>
      <c r="R100" s="61"/>
      <c r="S100" s="90"/>
      <c r="T100" s="93"/>
      <c r="U100" s="94"/>
      <c r="V100" s="93"/>
      <c r="W100" s="94"/>
    </row>
    <row r="101" spans="8:23" ht="15" customHeight="1" x14ac:dyDescent="0.25">
      <c r="H101" s="86"/>
      <c r="I101" s="87"/>
      <c r="J101" s="99"/>
      <c r="K101" s="100"/>
      <c r="L101" s="100"/>
      <c r="M101" s="103"/>
      <c r="N101" s="103"/>
      <c r="O101" s="103"/>
      <c r="P101" s="103"/>
      <c r="Q101" s="104"/>
      <c r="R101" s="61"/>
      <c r="S101" s="90"/>
      <c r="T101" s="93"/>
      <c r="U101" s="94"/>
      <c r="V101" s="93"/>
      <c r="W101" s="94"/>
    </row>
    <row r="102" spans="8:23" ht="15" customHeight="1" x14ac:dyDescent="0.25">
      <c r="H102" s="86"/>
      <c r="I102" s="87"/>
      <c r="J102" s="99"/>
      <c r="K102" s="100"/>
      <c r="L102" s="100"/>
      <c r="M102" s="103"/>
      <c r="N102" s="103"/>
      <c r="O102" s="103"/>
      <c r="P102" s="103"/>
      <c r="Q102" s="104"/>
      <c r="R102" s="61"/>
      <c r="S102" s="90"/>
      <c r="T102" s="93"/>
      <c r="U102" s="94"/>
      <c r="V102" s="93"/>
      <c r="W102" s="94"/>
    </row>
    <row r="103" spans="8:23" ht="15" customHeight="1" x14ac:dyDescent="0.25">
      <c r="H103" s="88"/>
      <c r="I103" s="89"/>
      <c r="J103" s="101"/>
      <c r="K103" s="102"/>
      <c r="L103" s="102"/>
      <c r="M103" s="27"/>
      <c r="N103" s="27"/>
      <c r="O103" s="27"/>
      <c r="P103" s="27"/>
      <c r="Q103" s="28"/>
      <c r="R103" s="82"/>
      <c r="S103" s="58"/>
      <c r="T103" s="95"/>
      <c r="U103" s="96"/>
      <c r="V103" s="95"/>
      <c r="W103" s="96"/>
    </row>
    <row r="104" spans="8:23" ht="15" customHeight="1" x14ac:dyDescent="0.25">
      <c r="H104" s="84" t="s">
        <v>77</v>
      </c>
      <c r="I104" s="85"/>
      <c r="J104" s="97"/>
      <c r="K104" s="98"/>
      <c r="L104" s="98"/>
      <c r="M104" s="24" t="s">
        <v>76</v>
      </c>
      <c r="N104" s="24"/>
      <c r="O104" s="24"/>
      <c r="P104" s="24"/>
      <c r="Q104" s="25"/>
      <c r="R104" s="64" t="str">
        <f>Planilha2!M70</f>
        <v>&lt;&lt;&lt;</v>
      </c>
      <c r="S104" s="105"/>
      <c r="T104" s="91">
        <v>0</v>
      </c>
      <c r="U104" s="92"/>
      <c r="V104" s="91" t="str">
        <f>IF(R104&lt;&gt;"&lt;&lt;&lt;",R104*T104,"&lt;&lt;&lt;")</f>
        <v>&lt;&lt;&lt;</v>
      </c>
      <c r="W104" s="92"/>
    </row>
    <row r="105" spans="8:23" ht="15" customHeight="1" x14ac:dyDescent="0.25">
      <c r="H105" s="86"/>
      <c r="I105" s="87"/>
      <c r="J105" s="99"/>
      <c r="K105" s="100"/>
      <c r="L105" s="100"/>
      <c r="M105" s="103"/>
      <c r="N105" s="103"/>
      <c r="O105" s="103"/>
      <c r="P105" s="103"/>
      <c r="Q105" s="104"/>
      <c r="R105" s="106"/>
      <c r="S105" s="107"/>
      <c r="T105" s="93"/>
      <c r="U105" s="94"/>
      <c r="V105" s="93"/>
      <c r="W105" s="94"/>
    </row>
    <row r="106" spans="8:23" ht="15" customHeight="1" x14ac:dyDescent="0.25">
      <c r="H106" s="86"/>
      <c r="I106" s="87"/>
      <c r="J106" s="99"/>
      <c r="K106" s="100"/>
      <c r="L106" s="100"/>
      <c r="M106" s="103"/>
      <c r="N106" s="103"/>
      <c r="O106" s="103"/>
      <c r="P106" s="103"/>
      <c r="Q106" s="104"/>
      <c r="R106" s="106"/>
      <c r="S106" s="107"/>
      <c r="T106" s="93"/>
      <c r="U106" s="94"/>
      <c r="V106" s="93"/>
      <c r="W106" s="94"/>
    </row>
    <row r="107" spans="8:23" ht="15" customHeight="1" x14ac:dyDescent="0.25">
      <c r="H107" s="86"/>
      <c r="I107" s="87"/>
      <c r="J107" s="99"/>
      <c r="K107" s="100"/>
      <c r="L107" s="100"/>
      <c r="M107" s="103"/>
      <c r="N107" s="103"/>
      <c r="O107" s="103"/>
      <c r="P107" s="103"/>
      <c r="Q107" s="104"/>
      <c r="R107" s="106"/>
      <c r="S107" s="107"/>
      <c r="T107" s="93"/>
      <c r="U107" s="94"/>
      <c r="V107" s="93"/>
      <c r="W107" s="94"/>
    </row>
    <row r="108" spans="8:23" ht="15" customHeight="1" x14ac:dyDescent="0.25">
      <c r="H108" s="86"/>
      <c r="I108" s="87"/>
      <c r="J108" s="99"/>
      <c r="K108" s="100"/>
      <c r="L108" s="100"/>
      <c r="M108" s="103"/>
      <c r="N108" s="103"/>
      <c r="O108" s="103"/>
      <c r="P108" s="103"/>
      <c r="Q108" s="104"/>
      <c r="R108" s="106"/>
      <c r="S108" s="107"/>
      <c r="T108" s="93"/>
      <c r="U108" s="94"/>
      <c r="V108" s="93"/>
      <c r="W108" s="94"/>
    </row>
    <row r="109" spans="8:23" ht="15" customHeight="1" x14ac:dyDescent="0.25">
      <c r="H109" s="88"/>
      <c r="I109" s="89"/>
      <c r="J109" s="101"/>
      <c r="K109" s="102"/>
      <c r="L109" s="102"/>
      <c r="M109" s="27"/>
      <c r="N109" s="27"/>
      <c r="O109" s="27"/>
      <c r="P109" s="27"/>
      <c r="Q109" s="28"/>
      <c r="R109" s="66"/>
      <c r="S109" s="108"/>
      <c r="T109" s="95"/>
      <c r="U109" s="96"/>
      <c r="V109" s="95"/>
      <c r="W109" s="96"/>
    </row>
    <row r="110" spans="8:23" ht="15" customHeight="1" x14ac:dyDescent="0.25">
      <c r="H110" s="84" t="s">
        <v>77</v>
      </c>
      <c r="I110" s="85"/>
      <c r="J110" s="97"/>
      <c r="K110" s="98"/>
      <c r="L110" s="98"/>
      <c r="M110" s="24" t="str">
        <f>IF(Planilha5!P28=Planilha2!B30,Planilha2!B95,IF(Planilha5!P28=Planilha2!B31,Planilha2!B96,IF(Planilha5!P28=Planilha2!B32,Planilha2!B97,IF(Planilha5!P28=Planilha2!B33,Planilha2!B98,IF(Planilha5!P28=Planilha2!B34,Planilha2!B99,IF(Planilha5!P28=Planilha2!B35,Planilha2!B100,IF(Planilha5!P28=Planilha2!B36,Planilha2!B101,IF(Planilha5!P28=Planilha2!B37,Planilha2!B102,IF(Planilha5!P28=Planilha2!B38,Planilha2!B103,"&lt;&lt;&lt;")))))))))</f>
        <v>&lt;&lt;&lt;</v>
      </c>
      <c r="N110" s="24"/>
      <c r="O110" s="24"/>
      <c r="P110" s="24"/>
      <c r="Q110" s="25"/>
      <c r="R110" s="59" t="str">
        <f>IF(Planilha5!P30=Z111,"&lt;&lt;&lt;",IF(Planilha5!P14="Sim",Planilha5!P30,IF(Planilha5!P14="Não",(Planilha5!P30)*2,Planilha2!B106)))</f>
        <v>&lt;&lt;&lt;</v>
      </c>
      <c r="S110" s="57"/>
      <c r="T110" s="91">
        <v>0</v>
      </c>
      <c r="U110" s="92"/>
      <c r="V110" s="91" t="str">
        <f>IF(R110&lt;&gt;"&lt;&lt;&lt;",R110*T110,"&lt;&lt;&lt;")</f>
        <v>&lt;&lt;&lt;</v>
      </c>
      <c r="W110" s="92"/>
    </row>
    <row r="111" spans="8:23" ht="15" customHeight="1" x14ac:dyDescent="0.25">
      <c r="H111" s="86"/>
      <c r="I111" s="87"/>
      <c r="J111" s="99"/>
      <c r="K111" s="100"/>
      <c r="L111" s="100"/>
      <c r="M111" s="103"/>
      <c r="N111" s="103"/>
      <c r="O111" s="103"/>
      <c r="P111" s="103"/>
      <c r="Q111" s="104"/>
      <c r="R111" s="61"/>
      <c r="S111" s="90"/>
      <c r="T111" s="93"/>
      <c r="U111" s="94"/>
      <c r="V111" s="93"/>
      <c r="W111" s="94"/>
    </row>
    <row r="112" spans="8:23" ht="15" customHeight="1" x14ac:dyDescent="0.25">
      <c r="H112" s="86"/>
      <c r="I112" s="87"/>
      <c r="J112" s="99"/>
      <c r="K112" s="100"/>
      <c r="L112" s="100"/>
      <c r="M112" s="103"/>
      <c r="N112" s="103"/>
      <c r="O112" s="103"/>
      <c r="P112" s="103"/>
      <c r="Q112" s="104"/>
      <c r="R112" s="61"/>
      <c r="S112" s="90"/>
      <c r="T112" s="93"/>
      <c r="U112" s="94"/>
      <c r="V112" s="93"/>
      <c r="W112" s="94"/>
    </row>
    <row r="113" spans="8:23" ht="15" customHeight="1" x14ac:dyDescent="0.25">
      <c r="H113" s="86"/>
      <c r="I113" s="87"/>
      <c r="J113" s="99"/>
      <c r="K113" s="100"/>
      <c r="L113" s="100"/>
      <c r="M113" s="103"/>
      <c r="N113" s="103"/>
      <c r="O113" s="103"/>
      <c r="P113" s="103"/>
      <c r="Q113" s="104"/>
      <c r="R113" s="61"/>
      <c r="S113" s="90"/>
      <c r="T113" s="93"/>
      <c r="U113" s="94"/>
      <c r="V113" s="93"/>
      <c r="W113" s="94"/>
    </row>
    <row r="114" spans="8:23" ht="15" customHeight="1" x14ac:dyDescent="0.25">
      <c r="H114" s="86"/>
      <c r="I114" s="87"/>
      <c r="J114" s="99"/>
      <c r="K114" s="100"/>
      <c r="L114" s="100"/>
      <c r="M114" s="103"/>
      <c r="N114" s="103"/>
      <c r="O114" s="103"/>
      <c r="P114" s="103"/>
      <c r="Q114" s="104"/>
      <c r="R114" s="61"/>
      <c r="S114" s="90"/>
      <c r="T114" s="93"/>
      <c r="U114" s="94"/>
      <c r="V114" s="93"/>
      <c r="W114" s="94"/>
    </row>
    <row r="115" spans="8:23" ht="15" customHeight="1" x14ac:dyDescent="0.25">
      <c r="H115" s="88"/>
      <c r="I115" s="89"/>
      <c r="J115" s="101"/>
      <c r="K115" s="102"/>
      <c r="L115" s="102"/>
      <c r="M115" s="27"/>
      <c r="N115" s="27"/>
      <c r="O115" s="27"/>
      <c r="P115" s="27"/>
      <c r="Q115" s="28"/>
      <c r="R115" s="82"/>
      <c r="S115" s="58"/>
      <c r="T115" s="95"/>
      <c r="U115" s="96"/>
      <c r="V115" s="95"/>
      <c r="W115" s="96"/>
    </row>
    <row r="116" spans="8:23" ht="15" customHeight="1" x14ac:dyDescent="0.25">
      <c r="H116" s="84" t="s">
        <v>77</v>
      </c>
      <c r="I116" s="85"/>
      <c r="J116" s="97"/>
      <c r="K116" s="98"/>
      <c r="L116" s="98"/>
      <c r="M116" s="24" t="str">
        <f>IF(Planilha5!P46=Planilha2!B30,Planilha2!B95,IF(Planilha5!P46=Planilha2!B31,Planilha2!B96,IF(Planilha5!P46=Planilha2!B32,Planilha2!B97,IF(Planilha5!P46=Planilha2!B33,Planilha2!B98,IF(Planilha5!P46=Planilha2!B34,Planilha2!B99,IF(Planilha5!P46=Planilha2!B35,Planilha2!B100,IF(Planilha5!P46=Planilha2!B36,Planilha2!B101,IF(Planilha5!P46=Planilha2!B37,Planilha2!B102,IF(Planilha5!P46=Planilha2!B38,Planilha2!B103,"&lt;&lt;&lt;")))))))))</f>
        <v>&lt;&lt;&lt;</v>
      </c>
      <c r="N116" s="24"/>
      <c r="O116" s="24"/>
      <c r="P116" s="24"/>
      <c r="Q116" s="25"/>
      <c r="R116" s="59" t="str">
        <f>IF(Planilha5!P44=Y113,"&lt;&lt;&lt;",Planilha5!P44)</f>
        <v>&lt;&lt;&lt;</v>
      </c>
      <c r="S116" s="57"/>
      <c r="T116" s="91">
        <v>0</v>
      </c>
      <c r="U116" s="92"/>
      <c r="V116" s="91" t="str">
        <f>IF(R116&lt;&gt;"&lt;&lt;&lt;",R116*T116,"&lt;&lt;&lt;")</f>
        <v>&lt;&lt;&lt;</v>
      </c>
      <c r="W116" s="92"/>
    </row>
    <row r="117" spans="8:23" ht="15" customHeight="1" x14ac:dyDescent="0.25">
      <c r="H117" s="86"/>
      <c r="I117" s="87"/>
      <c r="J117" s="99"/>
      <c r="K117" s="100"/>
      <c r="L117" s="100"/>
      <c r="M117" s="103"/>
      <c r="N117" s="103"/>
      <c r="O117" s="103"/>
      <c r="P117" s="103"/>
      <c r="Q117" s="104"/>
      <c r="R117" s="61"/>
      <c r="S117" s="90"/>
      <c r="T117" s="93"/>
      <c r="U117" s="94"/>
      <c r="V117" s="93"/>
      <c r="W117" s="94"/>
    </row>
    <row r="118" spans="8:23" ht="15" customHeight="1" x14ac:dyDescent="0.25">
      <c r="H118" s="86"/>
      <c r="I118" s="87"/>
      <c r="J118" s="99"/>
      <c r="K118" s="100"/>
      <c r="L118" s="100"/>
      <c r="M118" s="103"/>
      <c r="N118" s="103"/>
      <c r="O118" s="103"/>
      <c r="P118" s="103"/>
      <c r="Q118" s="104"/>
      <c r="R118" s="61"/>
      <c r="S118" s="90"/>
      <c r="T118" s="93"/>
      <c r="U118" s="94"/>
      <c r="V118" s="93"/>
      <c r="W118" s="94"/>
    </row>
    <row r="119" spans="8:23" ht="15" customHeight="1" x14ac:dyDescent="0.25">
      <c r="H119" s="86"/>
      <c r="I119" s="87"/>
      <c r="J119" s="99"/>
      <c r="K119" s="100"/>
      <c r="L119" s="100"/>
      <c r="M119" s="103"/>
      <c r="N119" s="103"/>
      <c r="O119" s="103"/>
      <c r="P119" s="103"/>
      <c r="Q119" s="104"/>
      <c r="R119" s="61"/>
      <c r="S119" s="90"/>
      <c r="T119" s="93"/>
      <c r="U119" s="94"/>
      <c r="V119" s="93"/>
      <c r="W119" s="94"/>
    </row>
    <row r="120" spans="8:23" ht="15" customHeight="1" x14ac:dyDescent="0.25">
      <c r="H120" s="86"/>
      <c r="I120" s="87"/>
      <c r="J120" s="99"/>
      <c r="K120" s="100"/>
      <c r="L120" s="100"/>
      <c r="M120" s="103"/>
      <c r="N120" s="103"/>
      <c r="O120" s="103"/>
      <c r="P120" s="103"/>
      <c r="Q120" s="104"/>
      <c r="R120" s="61"/>
      <c r="S120" s="90"/>
      <c r="T120" s="93"/>
      <c r="U120" s="94"/>
      <c r="V120" s="93"/>
      <c r="W120" s="94"/>
    </row>
    <row r="121" spans="8:23" ht="15" customHeight="1" x14ac:dyDescent="0.25">
      <c r="H121" s="88"/>
      <c r="I121" s="89"/>
      <c r="J121" s="101"/>
      <c r="K121" s="102"/>
      <c r="L121" s="102"/>
      <c r="M121" s="27"/>
      <c r="N121" s="27"/>
      <c r="O121" s="27"/>
      <c r="P121" s="27"/>
      <c r="Q121" s="28"/>
      <c r="R121" s="82"/>
      <c r="S121" s="58"/>
      <c r="T121" s="95"/>
      <c r="U121" s="96"/>
      <c r="V121" s="95"/>
      <c r="W121" s="96"/>
    </row>
    <row r="122" spans="8:23" ht="15" customHeight="1" x14ac:dyDescent="0.25">
      <c r="H122" s="109" t="s">
        <v>71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60">
        <f>SUM(V68:W121)</f>
        <v>0</v>
      </c>
      <c r="W122" s="57"/>
    </row>
    <row r="123" spans="8:23" ht="15" customHeight="1" x14ac:dyDescent="0.25">
      <c r="H123" s="111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62"/>
      <c r="W123" s="90"/>
    </row>
    <row r="124" spans="8:23" ht="15" customHeight="1" x14ac:dyDescent="0.25">
      <c r="H124" s="113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83"/>
      <c r="W124" s="58"/>
    </row>
  </sheetData>
  <mergeCells count="107">
    <mergeCell ref="P20:V21"/>
    <mergeCell ref="W18:W19"/>
    <mergeCell ref="W20:W21"/>
    <mergeCell ref="H122:U124"/>
    <mergeCell ref="V122:W124"/>
    <mergeCell ref="H116:I121"/>
    <mergeCell ref="R116:S121"/>
    <mergeCell ref="T116:U121"/>
    <mergeCell ref="V116:W121"/>
    <mergeCell ref="J116:L121"/>
    <mergeCell ref="M116:Q121"/>
    <mergeCell ref="H110:I115"/>
    <mergeCell ref="R110:S115"/>
    <mergeCell ref="T110:U115"/>
    <mergeCell ref="V110:W115"/>
    <mergeCell ref="J110:L115"/>
    <mergeCell ref="M110:Q115"/>
    <mergeCell ref="H104:I109"/>
    <mergeCell ref="R104:S109"/>
    <mergeCell ref="T104:U109"/>
    <mergeCell ref="V104:W109"/>
    <mergeCell ref="J104:L109"/>
    <mergeCell ref="M104:Q109"/>
    <mergeCell ref="H98:I103"/>
    <mergeCell ref="R98:S103"/>
    <mergeCell ref="T98:U103"/>
    <mergeCell ref="V98:W103"/>
    <mergeCell ref="J98:L103"/>
    <mergeCell ref="M98:Q103"/>
    <mergeCell ref="H92:I97"/>
    <mergeCell ref="R92:S97"/>
    <mergeCell ref="T92:U97"/>
    <mergeCell ref="V92:W97"/>
    <mergeCell ref="J92:L97"/>
    <mergeCell ref="M92:Q97"/>
    <mergeCell ref="H86:I91"/>
    <mergeCell ref="R86:S91"/>
    <mergeCell ref="T86:U91"/>
    <mergeCell ref="V86:W91"/>
    <mergeCell ref="J86:L91"/>
    <mergeCell ref="M86:Q91"/>
    <mergeCell ref="H80:I85"/>
    <mergeCell ref="R80:S85"/>
    <mergeCell ref="T80:U85"/>
    <mergeCell ref="V80:W85"/>
    <mergeCell ref="J80:L85"/>
    <mergeCell ref="M80:Q85"/>
    <mergeCell ref="H74:I79"/>
    <mergeCell ref="R74:S79"/>
    <mergeCell ref="T74:U79"/>
    <mergeCell ref="V74:W79"/>
    <mergeCell ref="J74:L79"/>
    <mergeCell ref="M74:Q79"/>
    <mergeCell ref="R68:S73"/>
    <mergeCell ref="T68:U73"/>
    <mergeCell ref="V68:W73"/>
    <mergeCell ref="H68:I73"/>
    <mergeCell ref="M68:Q73"/>
    <mergeCell ref="J68:L73"/>
    <mergeCell ref="H65:W65"/>
    <mergeCell ref="H66:I67"/>
    <mergeCell ref="R66:S67"/>
    <mergeCell ref="T66:U67"/>
    <mergeCell ref="V66:W67"/>
    <mergeCell ref="J66:Q67"/>
    <mergeCell ref="H11:W11"/>
    <mergeCell ref="H12:O13"/>
    <mergeCell ref="H14:O15"/>
    <mergeCell ref="H28:O29"/>
    <mergeCell ref="H30:O31"/>
    <mergeCell ref="P22:V23"/>
    <mergeCell ref="W22:W23"/>
    <mergeCell ref="P24:V25"/>
    <mergeCell ref="W24:W25"/>
    <mergeCell ref="P26:V27"/>
    <mergeCell ref="W26:W27"/>
    <mergeCell ref="H22:O23"/>
    <mergeCell ref="H24:O25"/>
    <mergeCell ref="H26:O27"/>
    <mergeCell ref="H16:O17"/>
    <mergeCell ref="P12:V13"/>
    <mergeCell ref="P14:V15"/>
    <mergeCell ref="P16:V17"/>
    <mergeCell ref="W12:W13"/>
    <mergeCell ref="W14:W15"/>
    <mergeCell ref="W16:W17"/>
    <mergeCell ref="H18:O19"/>
    <mergeCell ref="H20:O21"/>
    <mergeCell ref="P18:V19"/>
    <mergeCell ref="L51:L52"/>
    <mergeCell ref="H32:O33"/>
    <mergeCell ref="P28:V29"/>
    <mergeCell ref="W28:W29"/>
    <mergeCell ref="P30:V31"/>
    <mergeCell ref="W30:W31"/>
    <mergeCell ref="P32:V33"/>
    <mergeCell ref="W32:W33"/>
    <mergeCell ref="H34:O35"/>
    <mergeCell ref="P34:V35"/>
    <mergeCell ref="W34:W35"/>
    <mergeCell ref="H36:O37"/>
    <mergeCell ref="P36:V37"/>
    <mergeCell ref="Q44:Q45"/>
    <mergeCell ref="W36:W37"/>
    <mergeCell ref="H38:O39"/>
    <mergeCell ref="P38:V39"/>
    <mergeCell ref="W38:W39"/>
  </mergeCells>
  <pageMargins left="0.51181102362204722" right="0.51181102362204722" top="0.78740157480314965" bottom="0.78740157480314965" header="0.31496062992125984" footer="0.31496062992125984"/>
  <pageSetup paperSize="143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1C9BFDBF-917A-4540-A1AA-01358CA56382}">
            <xm:f>NOT(ISERROR(SEARCH(Planilha2!$B$91,M68)))</xm:f>
            <xm:f>Planilha2!$B$91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M68:Q73</xm:sqref>
        </x14:conditionalFormatting>
        <x14:conditionalFormatting xmlns:xm="http://schemas.microsoft.com/office/excel/2006/main">
          <x14:cfRule type="containsText" priority="33" operator="containsText" id="{50084D0D-2D93-4D57-A0EB-3CE5678DD0DD}">
            <xm:f>NOT(ISERROR(SEARCH(Planilha2!$B$11,P16)))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32" operator="containsText" id="{81F1C050-4C23-4D58-B438-94FDD81BBB72}">
            <xm:f>NOT(ISERROR(SEARCH(Planilha2!$B$12,P16)))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m:sqref>P18 P20 P16:V17</xm:sqref>
        </x14:conditionalFormatting>
        <x14:conditionalFormatting xmlns:xm="http://schemas.microsoft.com/office/excel/2006/main">
          <x14:cfRule type="containsText" priority="111" operator="containsText" id="{7DD32B29-0C04-43D5-805A-09385EB29C3F}">
            <xm:f>NOT(ISERROR(SEARCH(Planilha2!$B$14,P22)))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15" operator="containsText" id="{4A176A85-8262-422E-9E92-7396BBD33D22}">
            <xm:f>NOT(ISERROR(SEARCH(Planilha2!$B$10,P22)))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112" operator="containsText" id="{9C5F306E-13AD-4915-B5ED-9B3AFC1A4AC5}">
            <xm:f>NOT(ISERROR(SEARCH(Planilha2!$B$13,P22)))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113" operator="containsText" id="{FEBCEE03-3C7B-4A7F-A1B3-A4BD6D1ED199}">
            <xm:f>NOT(ISERROR(SEARCH(Planilha2!$B$12,P22)))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114" operator="containsText" id="{63273B29-997C-4D3C-967C-9A4416628056}">
            <xm:f>NOT(ISERROR(SEARCH(Planilha2!$B$11,P22)))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m:sqref>P22 W22</xm:sqref>
        </x14:conditionalFormatting>
        <x14:conditionalFormatting xmlns:xm="http://schemas.microsoft.com/office/excel/2006/main">
          <x14:cfRule type="containsText" priority="89" operator="containsText" id="{2CC88419-6299-4EB5-B281-C09D53C770D2}">
            <xm:f>NOT(ISERROR(SEARCH(Planilha2!$B$11,P24)))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88" operator="containsText" id="{FB0340D8-6B52-46F1-A227-939803255660}">
            <xm:f>NOT(ISERROR(SEARCH(Planilha2!$B$12,P24)))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87" operator="containsText" id="{75C7E7DE-5584-47BA-8AF0-0EB6D36124C3}">
            <xm:f>NOT(ISERROR(SEARCH(Planilha2!$B$13,P24)))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86" operator="containsText" id="{FBC83D86-F5D5-455D-A9F2-BA5FC09483C5}">
            <xm:f>NOT(ISERROR(SEARCH(Planilha2!$B$14,P24)))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90" operator="containsText" id="{9DBED900-759B-4E60-8C84-98142C9BAC61}">
            <xm:f>NOT(ISERROR(SEARCH(Planilha2!$B$10,P24)))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m:sqref>P24 W24</xm:sqref>
        </x14:conditionalFormatting>
        <x14:conditionalFormatting xmlns:xm="http://schemas.microsoft.com/office/excel/2006/main">
          <x14:cfRule type="containsText" priority="85" operator="containsText" id="{9D27259F-FC43-40C3-A366-08BF581B87BB}">
            <xm:f>NOT(ISERROR(SEARCH(Planilha2!$B$10,P26)))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84" operator="containsText" id="{56A65E9C-2015-47F5-89DA-B732774266BC}">
            <xm:f>NOT(ISERROR(SEARCH(Planilha2!$B$11,P26)))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83" operator="containsText" id="{015A7FD0-BA70-41C7-B250-56B5E9FEC2A4}">
            <xm:f>NOT(ISERROR(SEARCH(Planilha2!$B$12,P26)))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82" operator="containsText" id="{CFCCF798-2C9C-43A0-A54A-B85A3174A0B9}">
            <xm:f>NOT(ISERROR(SEARCH(Planilha2!$B$13,P26)))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81" operator="containsText" id="{CD4CAD07-691C-4C58-9ECD-CBBFDE22850A}">
            <xm:f>NOT(ISERROR(SEARCH(Planilha2!$B$14,P26)))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P26 W26</xm:sqref>
        </x14:conditionalFormatting>
        <x14:conditionalFormatting xmlns:xm="http://schemas.microsoft.com/office/excel/2006/main">
          <x14:cfRule type="containsText" priority="71" operator="containsText" id="{F5D9C175-A7B7-4C0E-A415-71C802E4B5A3}">
            <xm:f>NOT(ISERROR(SEARCH(Planilha2!$B$14,P28)))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72" operator="containsText" id="{7E604CC8-2589-417B-A213-982DB3B1EA48}">
            <xm:f>NOT(ISERROR(SEARCH(Planilha2!$B$13,P28)))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75" operator="containsText" id="{93AAFB85-162A-48C4-BCDE-4D3D207C712A}">
            <xm:f>NOT(ISERROR(SEARCH(Planilha2!$B$10,P28)))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74" operator="containsText" id="{798496B3-D8E2-4D9B-A2A1-73F38BE16F0D}">
            <xm:f>NOT(ISERROR(SEARCH(Planilha2!$B$11,P28)))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73" operator="containsText" id="{70C06DEE-7503-4440-A2A6-6E7B8FCAF00C}">
            <xm:f>NOT(ISERROR(SEARCH(Planilha2!$B$12,P28)))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m:sqref>P28 W28</xm:sqref>
        </x14:conditionalFormatting>
        <x14:conditionalFormatting xmlns:xm="http://schemas.microsoft.com/office/excel/2006/main">
          <x14:cfRule type="containsText" priority="69" operator="containsText" id="{C9B85101-42C5-4201-B0D6-49747D5FD5B5}">
            <xm:f>NOT(ISERROR(SEARCH(Planilha2!$B$11,P30)))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70" operator="containsText" id="{BE3257B6-43D8-4AC9-B3EE-7DCEAC24467F}">
            <xm:f>NOT(ISERROR(SEARCH(Planilha2!$B$10,P30)))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67" operator="containsText" id="{888824A4-07FC-4545-B2A8-F9CA2BFF9DBC}">
            <xm:f>NOT(ISERROR(SEARCH(Planilha2!$B$13,P30)))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66" operator="containsText" id="{1EB680CA-1479-4E57-B298-818265E77E88}">
            <xm:f>NOT(ISERROR(SEARCH(Planilha2!$B$14,P30)))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68" operator="containsText" id="{113AFD3C-EB99-4892-974E-80B0C77BCB95}">
            <xm:f>NOT(ISERROR(SEARCH(Planilha2!$B$12,P30)))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m:sqref>P30 W30</xm:sqref>
        </x14:conditionalFormatting>
        <x14:conditionalFormatting xmlns:xm="http://schemas.microsoft.com/office/excel/2006/main">
          <x14:cfRule type="containsText" priority="63" operator="containsText" id="{5DFFEDBD-2467-4849-A375-CCCF63C0D5BF}">
            <xm:f>NOT(ISERROR(SEARCH(Planilha2!$B$12,P32)))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62" operator="containsText" id="{6BA606FC-9F8D-432B-9929-DEB3DFBD7DD6}">
            <xm:f>NOT(ISERROR(SEARCH(Planilha2!$B$13,P32)))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61" operator="containsText" id="{DD299893-1C1B-46BB-8C36-677323A4B9CE}">
            <xm:f>NOT(ISERROR(SEARCH(Planilha2!$B$14,P32)))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64" operator="containsText" id="{E8F1A14C-90AE-4C0C-8E21-074455FEBB0C}">
            <xm:f>NOT(ISERROR(SEARCH(Planilha2!$B$11,P32)))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65" operator="containsText" id="{567ED17C-8A24-449F-A096-7F519F03D987}">
            <xm:f>NOT(ISERROR(SEARCH(Planilha2!$B$10,P32)))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m:sqref>P32 W32</xm:sqref>
        </x14:conditionalFormatting>
        <x14:conditionalFormatting xmlns:xm="http://schemas.microsoft.com/office/excel/2006/main">
          <x14:cfRule type="containsText" priority="60" operator="containsText" id="{66E49185-1B5E-402D-B534-3780A1079250}">
            <xm:f>NOT(ISERROR(SEARCH(Planilha2!$B$10,P34)))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59" operator="containsText" id="{C4890485-1114-4B50-BE7E-C70A097E771B}">
            <xm:f>NOT(ISERROR(SEARCH(Planilha2!$B$11,P34)))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58" operator="containsText" id="{7706D985-1F19-4DD9-95CA-D07271290F09}">
            <xm:f>NOT(ISERROR(SEARCH(Planilha2!$B$12,P34)))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57" operator="containsText" id="{DED85326-009E-4A80-84EB-9C1AC93989E6}">
            <xm:f>NOT(ISERROR(SEARCH(Planilha2!$B$13,P34)))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56" operator="containsText" id="{3A72F845-5218-4194-AD7A-A114521A3E27}">
            <xm:f>NOT(ISERROR(SEARCH(Planilha2!$B$14,P34)))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P34 W34</xm:sqref>
        </x14:conditionalFormatting>
        <x14:conditionalFormatting xmlns:xm="http://schemas.microsoft.com/office/excel/2006/main">
          <x14:cfRule type="containsText" priority="52" operator="containsText" id="{FA13470F-84C2-4508-9586-EF3FD4F32A71}">
            <xm:f>NOT(ISERROR(SEARCH(Planilha2!$B$13,P36)))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53" operator="containsText" id="{C43B9090-843E-452C-9B4B-28C1626AF840}">
            <xm:f>NOT(ISERROR(SEARCH(Planilha2!$B$12,P36)))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54" operator="containsText" id="{15E53A1A-F62A-4926-869F-387F73726331}">
            <xm:f>NOT(ISERROR(SEARCH(Planilha2!$B$11,P36)))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55" operator="containsText" id="{B328F9DD-0413-4AE6-B4A6-1944EA567B34}">
            <xm:f>NOT(ISERROR(SEARCH(Planilha2!$B$10,P36)))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51" operator="containsText" id="{87CF9005-CDC3-4669-B790-21F7E64E90B5}">
            <xm:f>NOT(ISERROR(SEARCH(Planilha2!$B$14,P36)))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P36 W36</xm:sqref>
        </x14:conditionalFormatting>
        <x14:conditionalFormatting xmlns:xm="http://schemas.microsoft.com/office/excel/2006/main">
          <x14:cfRule type="containsText" priority="46" operator="containsText" id="{59727077-4463-4859-AB83-E46FB2C2D753}">
            <xm:f>NOT(ISERROR(SEARCH(Planilha2!$B$14,P38)))</xm:f>
            <xm:f>Planilha2!$B$14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14:cfRule type="containsText" priority="50" operator="containsText" id="{42DA922D-60E3-434E-94E2-B30CAF5488B1}">
            <xm:f>NOT(ISERROR(SEARCH(Planilha2!$B$10,P38)))</xm:f>
            <xm:f>Planilha2!$B$10</xm:f>
            <x14:dxf>
              <font>
                <b val="0"/>
                <i val="0"/>
                <color rgb="FF545200"/>
              </font>
              <fill>
                <patternFill>
                  <bgColor rgb="FFFBFFD1"/>
                </patternFill>
              </fill>
            </x14:dxf>
          </x14:cfRule>
          <x14:cfRule type="containsText" priority="49" operator="containsText" id="{3BBE5622-297E-4E76-BD2D-A9FB06D381CC}">
            <xm:f>NOT(ISERROR(SEARCH(Planilha2!$B$11,P38)))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48" operator="containsText" id="{F9AC1188-9BCF-43EE-B12F-C138A4B771D9}">
            <xm:f>NOT(ISERROR(SEARCH(Planilha2!$B$12,P38)))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47" operator="containsText" id="{F9E411B2-1991-4C64-9B79-55B4BCF60E14}">
            <xm:f>NOT(ISERROR(SEARCH(Planilha2!$B$13,P38)))</xm:f>
            <xm:f>Planilha2!$B$13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P38 W38</xm:sqref>
        </x14:conditionalFormatting>
        <x14:conditionalFormatting xmlns:xm="http://schemas.microsoft.com/office/excel/2006/main">
          <x14:cfRule type="containsText" priority="43" operator="containsText" id="{D5A9DF7C-BCBC-4E26-9DD3-EEBB0C668D3C}">
            <xm:f>NOT(ISERROR(SEARCH(Planilha2!$B$81,P12)))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P12:V13</xm:sqref>
        </x14:conditionalFormatting>
        <x14:conditionalFormatting xmlns:xm="http://schemas.microsoft.com/office/excel/2006/main">
          <x14:cfRule type="containsText" priority="44" operator="containsText" id="{0F926DC2-223C-4CFA-88C9-ABF06412ACC4}">
            <xm:f>NOT(ISERROR(SEARCH(Planilha2!$B$80,P14)))</xm:f>
            <xm:f>Planilha2!$B$80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P14:V15</xm:sqref>
        </x14:conditionalFormatting>
        <x14:conditionalFormatting xmlns:xm="http://schemas.microsoft.com/office/excel/2006/main">
          <x14:cfRule type="containsText" priority="45" operator="containsText" id="{04BFB9CB-C931-4DCB-836D-1386992C5A62}">
            <xm:f>NOT(ISERROR(SEARCH(Planilha2!$B$16,P16)))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P16:V17 P18 P20</xm:sqref>
        </x14:conditionalFormatting>
        <x14:conditionalFormatting xmlns:xm="http://schemas.microsoft.com/office/excel/2006/main">
          <x14:cfRule type="containsText" priority="5" operator="containsText" id="{69F5BA33-2B40-48E2-9ECD-786E6531ED5F}">
            <xm:f>NOT(ISERROR(SEARCH(Planilha2!$B$106,P18)))</xm:f>
            <xm:f>Planilha2!$B$106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P18:V19</xm:sqref>
        </x14:conditionalFormatting>
        <x14:conditionalFormatting xmlns:xm="http://schemas.microsoft.com/office/excel/2006/main">
          <x14:cfRule type="containsText" priority="4" operator="containsText" id="{3DDCAEFA-8E4C-4B5E-8232-38BB33E72588}">
            <xm:f>NOT(ISERROR(SEARCH(Planilha2!$B$116,P20)))</xm:f>
            <xm:f>Planilha2!$B$116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P20:V21</xm:sqref>
        </x14:conditionalFormatting>
        <x14:conditionalFormatting xmlns:xm="http://schemas.microsoft.com/office/excel/2006/main">
          <x14:cfRule type="containsText" priority="41" operator="containsText" id="{4A5F218C-0635-4533-B2E0-756C65897FF3}">
            <xm:f>NOT(ISERROR(SEARCH(Planilha2!$B$28,P22)))</xm:f>
            <xm:f>Planilha2!$B$28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P22:V25</xm:sqref>
        </x14:conditionalFormatting>
        <x14:conditionalFormatting xmlns:xm="http://schemas.microsoft.com/office/excel/2006/main">
          <x14:cfRule type="containsText" priority="34" operator="containsText" id="{F299E31D-346F-4DEF-8855-05B7B9C67D3D}">
            <xm:f>NOT(ISERROR(SEARCH(Planilha2!$B$83,P26)))</xm:f>
            <xm:f>Planilha2!$B$83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P26:V29</xm:sqref>
        </x14:conditionalFormatting>
        <x14:conditionalFormatting xmlns:xm="http://schemas.microsoft.com/office/excel/2006/main">
          <x14:cfRule type="containsText" priority="3" operator="containsText" id="{688DE560-3944-427D-9BD3-15BF750B95AE}">
            <xm:f>NOT(ISERROR(SEARCH(Planilha2!$B$116,P28)))</xm:f>
            <xm:f>Planilha2!$B$116</xm:f>
            <x14:dxf>
              <font>
                <color rgb="FF545200"/>
              </font>
              <fill>
                <patternFill>
                  <bgColor rgb="FFFEFFD1"/>
                </patternFill>
              </fill>
            </x14:dxf>
          </x14:cfRule>
          <xm:sqref>P28:V29</xm:sqref>
        </x14:conditionalFormatting>
        <x14:conditionalFormatting xmlns:xm="http://schemas.microsoft.com/office/excel/2006/main">
          <x14:cfRule type="containsText" priority="6" operator="containsText" id="{1B014CF8-1875-49FB-AED5-0F6D1DB7ECAC}">
            <xm:f>NOT(ISERROR(SEARCH(Planilha2!$B$106,P30)))</xm:f>
            <xm:f>Planilha2!$B$106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14:cfRule type="containsText" priority="2" operator="containsText" id="{93363137-4246-419C-87D3-8101D19F568F}">
            <xm:f>NOT(ISERROR(SEARCH(Planilha2!$B$116,P30)))</xm:f>
            <xm:f>Planilha2!$B$116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P30:V31</xm:sqref>
        </x14:conditionalFormatting>
        <x14:conditionalFormatting xmlns:xm="http://schemas.microsoft.com/office/excel/2006/main">
          <x14:cfRule type="containsText" priority="39" operator="containsText" id="{B0A811A2-BE09-4829-B6E3-8E42B408EE99}">
            <xm:f>NOT(ISERROR(SEARCH(Planilha2!$B$28,P30)))</xm:f>
            <xm:f>Planilha2!$B$28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P30:V33</xm:sqref>
        </x14:conditionalFormatting>
        <x14:conditionalFormatting xmlns:xm="http://schemas.microsoft.com/office/excel/2006/main">
          <x14:cfRule type="containsText" priority="1" operator="containsText" id="{8830709D-ABD2-4C7E-8872-92E875241C8A}">
            <xm:f>NOT(ISERROR(SEARCH(Planilha2!$B$116,P32)))</xm:f>
            <xm:f>Planilha2!$B$116</xm:f>
            <x14:dxf>
              <font>
                <color rgb="FF545200"/>
              </font>
              <fill>
                <patternFill>
                  <bgColor rgb="FFFBFFD1"/>
                </patternFill>
              </fill>
            </x14:dxf>
          </x14:cfRule>
          <xm:sqref>P32:V33</xm:sqref>
        </x14:conditionalFormatting>
        <x14:conditionalFormatting xmlns:xm="http://schemas.microsoft.com/office/excel/2006/main">
          <x14:cfRule type="containsText" priority="36" operator="containsText" id="{31EC5E5A-61F2-4C8C-8294-943DB0795D4D}">
            <xm:f>NOT(ISERROR(SEARCH(Planilha2!$B$82,P34)))</xm:f>
            <xm:f>Planilha2!$B$82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P34:V35</xm:sqref>
        </x14:conditionalFormatting>
        <x14:conditionalFormatting xmlns:xm="http://schemas.microsoft.com/office/excel/2006/main">
          <x14:cfRule type="containsText" priority="37" operator="containsText" id="{21EB045C-E992-4C28-8EAF-BE70FA353BBB}">
            <xm:f>NOT(ISERROR(SEARCH(Planilha2!$B$28,P36)))</xm:f>
            <xm:f>Planilha2!$B$28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P36:V39</xm:sqref>
        </x14:conditionalFormatting>
        <x14:conditionalFormatting xmlns:xm="http://schemas.microsoft.com/office/excel/2006/main">
          <x14:cfRule type="containsText" priority="20" operator="containsText" id="{663F4EAF-A41C-4CEA-ADB7-3D54A6978BF8}">
            <xm:f>NOT(ISERROR(SEARCH(Planilha2!$B$81,R68)))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R68 T68 V68 V74 V80 V86 V92 V98 V104 V110 V116</xm:sqref>
        </x14:conditionalFormatting>
        <x14:conditionalFormatting xmlns:xm="http://schemas.microsoft.com/office/excel/2006/main">
          <x14:cfRule type="containsText" priority="17" operator="containsText" id="{2EA97BE9-FED9-4BCA-8545-F46908CDD295}">
            <xm:f>NOT(ISERROR(SEARCH(Planilha2!$B$81,R74)))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R74 T74</xm:sqref>
        </x14:conditionalFormatting>
        <x14:conditionalFormatting xmlns:xm="http://schemas.microsoft.com/office/excel/2006/main">
          <x14:cfRule type="containsText" priority="16" operator="containsText" id="{E482DEF2-AE31-4791-A776-55772F32D723}">
            <xm:f>NOT(ISERROR(SEARCH(Planilha2!$B$81,R80)))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R80 T80</xm:sqref>
        </x14:conditionalFormatting>
        <x14:conditionalFormatting xmlns:xm="http://schemas.microsoft.com/office/excel/2006/main">
          <x14:cfRule type="containsText" priority="15" operator="containsText" id="{5061864F-A20D-46F2-B585-70F0972A4182}">
            <xm:f>NOT(ISERROR(SEARCH(Planilha2!$B$81,R86)))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R86 T86</xm:sqref>
        </x14:conditionalFormatting>
        <x14:conditionalFormatting xmlns:xm="http://schemas.microsoft.com/office/excel/2006/main">
          <x14:cfRule type="containsText" priority="14" operator="containsText" id="{56FB9CF4-EB11-4E50-B3C4-C391865A701C}">
            <xm:f>NOT(ISERROR(SEARCH(Planilha2!$B$81,R92)))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R92 T92</xm:sqref>
        </x14:conditionalFormatting>
        <x14:conditionalFormatting xmlns:xm="http://schemas.microsoft.com/office/excel/2006/main">
          <x14:cfRule type="containsText" priority="13" operator="containsText" id="{D91A5C60-29B9-4873-81D1-BEC2E3C71AC8}">
            <xm:f>NOT(ISERROR(SEARCH(Planilha2!$B$81,R98)))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R98 T98</xm:sqref>
        </x14:conditionalFormatting>
        <x14:conditionalFormatting xmlns:xm="http://schemas.microsoft.com/office/excel/2006/main">
          <x14:cfRule type="containsText" priority="12" operator="containsText" id="{444A3A40-1250-4B66-B958-58C1202C1654}">
            <xm:f>NOT(ISERROR(SEARCH(Planilha2!$B$81,R104)))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R104 T104</xm:sqref>
        </x14:conditionalFormatting>
        <x14:conditionalFormatting xmlns:xm="http://schemas.microsoft.com/office/excel/2006/main">
          <x14:cfRule type="containsText" priority="11" operator="containsText" id="{08EA2F89-A2CF-487D-AC79-6914ED274072}">
            <xm:f>NOT(ISERROR(SEARCH(Planilha2!$B$81,R110)))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R110 T110</xm:sqref>
        </x14:conditionalFormatting>
        <x14:conditionalFormatting xmlns:xm="http://schemas.microsoft.com/office/excel/2006/main">
          <x14:cfRule type="containsText" priority="10" operator="containsText" id="{57E5CAD8-8C5F-40EB-8E10-6CAB589304FB}">
            <xm:f>NOT(ISERROR(SEARCH(Planilha2!$B$81,R116)))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R116 T116</xm:sqref>
        </x14:conditionalFormatting>
        <x14:conditionalFormatting xmlns:xm="http://schemas.microsoft.com/office/excel/2006/main">
          <x14:cfRule type="containsText" priority="8" operator="containsText" id="{EAA54715-F633-4100-ADFC-FEFCCE7E3534}">
            <xm:f>NOT(ISERROR(SEARCH(Planilha2!$B$81,V122)))</xm:f>
            <xm:f>Planilha2!$B$81</xm:f>
            <x14:dxf>
              <font>
                <color rgb="FF545200"/>
              </font>
              <fill>
                <patternFill>
                  <bgColor rgb="FFFCFFD1"/>
                </patternFill>
              </fill>
            </x14:dxf>
          </x14:cfRule>
          <xm:sqref>V122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EA1D-4D99-48A0-84CE-C41B2845555C}">
  <dimension ref="H11:W47"/>
  <sheetViews>
    <sheetView showGridLines="0" showRowColHeaders="0" zoomScaleNormal="100" workbookViewId="0"/>
  </sheetViews>
  <sheetFormatPr defaultRowHeight="15" x14ac:dyDescent="0.25"/>
  <cols>
    <col min="1" max="16384" width="9.140625" style="5"/>
  </cols>
  <sheetData>
    <row r="11" spans="8:23" ht="24" customHeight="1" x14ac:dyDescent="0.25"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8:23" ht="15" customHeight="1" x14ac:dyDescent="0.25">
      <c r="H12" s="84" t="s">
        <v>93</v>
      </c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85"/>
    </row>
    <row r="13" spans="8:23" ht="15" customHeight="1" x14ac:dyDescent="0.25">
      <c r="H13" s="86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87"/>
    </row>
    <row r="14" spans="8:23" ht="15" customHeight="1" x14ac:dyDescent="0.25">
      <c r="H14" s="86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87"/>
    </row>
    <row r="15" spans="8:23" ht="15" customHeight="1" x14ac:dyDescent="0.25">
      <c r="H15" s="8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89"/>
    </row>
    <row r="16" spans="8:23" ht="15" customHeight="1" x14ac:dyDescent="0.25">
      <c r="H16" s="97"/>
      <c r="I16" s="98"/>
      <c r="J16" s="98"/>
      <c r="K16" s="98"/>
      <c r="L16" s="98"/>
      <c r="M16" s="98"/>
      <c r="N16" s="98"/>
      <c r="O16" s="129"/>
      <c r="P16" s="23" t="s">
        <v>94</v>
      </c>
      <c r="Q16" s="24"/>
      <c r="R16" s="24"/>
      <c r="S16" s="24"/>
      <c r="T16" s="24"/>
      <c r="U16" s="24"/>
      <c r="V16" s="24"/>
      <c r="W16" s="25"/>
    </row>
    <row r="17" spans="8:23" ht="15" customHeight="1" x14ac:dyDescent="0.25">
      <c r="H17" s="99"/>
      <c r="I17" s="100"/>
      <c r="J17" s="100"/>
      <c r="K17" s="100"/>
      <c r="L17" s="100"/>
      <c r="M17" s="100"/>
      <c r="N17" s="100"/>
      <c r="O17" s="130"/>
      <c r="P17" s="26"/>
      <c r="Q17" s="27"/>
      <c r="R17" s="27"/>
      <c r="S17" s="27"/>
      <c r="T17" s="27"/>
      <c r="U17" s="27"/>
      <c r="V17" s="27"/>
      <c r="W17" s="28"/>
    </row>
    <row r="18" spans="8:23" ht="15" customHeight="1" x14ac:dyDescent="0.25">
      <c r="H18" s="99"/>
      <c r="I18" s="100"/>
      <c r="J18" s="100"/>
      <c r="K18" s="100"/>
      <c r="L18" s="100"/>
      <c r="M18" s="100"/>
      <c r="N18" s="100"/>
      <c r="O18" s="130"/>
      <c r="P18" s="23" t="s">
        <v>95</v>
      </c>
      <c r="Q18" s="24"/>
      <c r="R18" s="24"/>
      <c r="S18" s="24"/>
      <c r="T18" s="24"/>
      <c r="U18" s="24"/>
      <c r="V18" s="24"/>
      <c r="W18" s="25"/>
    </row>
    <row r="19" spans="8:23" ht="15" customHeight="1" x14ac:dyDescent="0.25">
      <c r="H19" s="99"/>
      <c r="I19" s="100"/>
      <c r="J19" s="100"/>
      <c r="K19" s="100"/>
      <c r="L19" s="100"/>
      <c r="M19" s="100"/>
      <c r="N19" s="100"/>
      <c r="O19" s="130"/>
      <c r="P19" s="26"/>
      <c r="Q19" s="27"/>
      <c r="R19" s="27"/>
      <c r="S19" s="27"/>
      <c r="T19" s="27"/>
      <c r="U19" s="27"/>
      <c r="V19" s="27"/>
      <c r="W19" s="28"/>
    </row>
    <row r="20" spans="8:23" ht="15" customHeight="1" x14ac:dyDescent="0.25">
      <c r="H20" s="99"/>
      <c r="I20" s="100"/>
      <c r="J20" s="100"/>
      <c r="K20" s="100"/>
      <c r="L20" s="100"/>
      <c r="M20" s="100"/>
      <c r="N20" s="100"/>
      <c r="O20" s="130"/>
      <c r="P20" s="23" t="s">
        <v>100</v>
      </c>
      <c r="Q20" s="24"/>
      <c r="R20" s="24"/>
      <c r="S20" s="24"/>
      <c r="T20" s="24"/>
      <c r="U20" s="24"/>
      <c r="V20" s="24"/>
      <c r="W20" s="25"/>
    </row>
    <row r="21" spans="8:23" ht="15" customHeight="1" x14ac:dyDescent="0.25">
      <c r="H21" s="99"/>
      <c r="I21" s="100"/>
      <c r="J21" s="100"/>
      <c r="K21" s="100"/>
      <c r="L21" s="100"/>
      <c r="M21" s="100"/>
      <c r="N21" s="100"/>
      <c r="O21" s="130"/>
      <c r="P21" s="26"/>
      <c r="Q21" s="27"/>
      <c r="R21" s="27"/>
      <c r="S21" s="27"/>
      <c r="T21" s="27"/>
      <c r="U21" s="27"/>
      <c r="V21" s="27"/>
      <c r="W21" s="28"/>
    </row>
    <row r="22" spans="8:23" ht="15" customHeight="1" x14ac:dyDescent="0.25">
      <c r="H22" s="99"/>
      <c r="I22" s="100"/>
      <c r="J22" s="100"/>
      <c r="K22" s="100"/>
      <c r="L22" s="100"/>
      <c r="M22" s="100"/>
      <c r="N22" s="100"/>
      <c r="O22" s="130"/>
      <c r="P22" s="23" t="s">
        <v>96</v>
      </c>
      <c r="Q22" s="24"/>
      <c r="R22" s="24"/>
      <c r="S22" s="24"/>
      <c r="T22" s="24"/>
      <c r="U22" s="24"/>
      <c r="V22" s="24"/>
      <c r="W22" s="25"/>
    </row>
    <row r="23" spans="8:23" ht="15" customHeight="1" x14ac:dyDescent="0.25">
      <c r="H23" s="99"/>
      <c r="I23" s="100"/>
      <c r="J23" s="100"/>
      <c r="K23" s="100"/>
      <c r="L23" s="100"/>
      <c r="M23" s="100"/>
      <c r="N23" s="100"/>
      <c r="O23" s="130"/>
      <c r="P23" s="26"/>
      <c r="Q23" s="27"/>
      <c r="R23" s="27"/>
      <c r="S23" s="27"/>
      <c r="T23" s="27"/>
      <c r="U23" s="27"/>
      <c r="V23" s="27"/>
      <c r="W23" s="28"/>
    </row>
    <row r="24" spans="8:23" ht="15" customHeight="1" x14ac:dyDescent="0.25">
      <c r="H24" s="99"/>
      <c r="I24" s="100"/>
      <c r="J24" s="100"/>
      <c r="K24" s="100"/>
      <c r="L24" s="100"/>
      <c r="M24" s="100"/>
      <c r="N24" s="100"/>
      <c r="O24" s="130"/>
      <c r="P24" s="23" t="s">
        <v>97</v>
      </c>
      <c r="Q24" s="24"/>
      <c r="R24" s="24"/>
      <c r="S24" s="24"/>
      <c r="T24" s="24"/>
      <c r="U24" s="24"/>
      <c r="V24" s="24"/>
      <c r="W24" s="25"/>
    </row>
    <row r="25" spans="8:23" ht="15" customHeight="1" x14ac:dyDescent="0.25">
      <c r="H25" s="99"/>
      <c r="I25" s="100"/>
      <c r="J25" s="100"/>
      <c r="K25" s="100"/>
      <c r="L25" s="100"/>
      <c r="M25" s="100"/>
      <c r="N25" s="100"/>
      <c r="O25" s="130"/>
      <c r="P25" s="26"/>
      <c r="Q25" s="27"/>
      <c r="R25" s="27"/>
      <c r="S25" s="27"/>
      <c r="T25" s="27"/>
      <c r="U25" s="27"/>
      <c r="V25" s="27"/>
      <c r="W25" s="28"/>
    </row>
    <row r="26" spans="8:23" ht="15" customHeight="1" x14ac:dyDescent="0.25">
      <c r="H26" s="99"/>
      <c r="I26" s="100"/>
      <c r="J26" s="100"/>
      <c r="K26" s="100"/>
      <c r="L26" s="100"/>
      <c r="M26" s="100"/>
      <c r="N26" s="100"/>
      <c r="O26" s="130"/>
      <c r="P26" s="23" t="s">
        <v>101</v>
      </c>
      <c r="Q26" s="24"/>
      <c r="R26" s="24"/>
      <c r="S26" s="24"/>
      <c r="T26" s="24"/>
      <c r="U26" s="24"/>
      <c r="V26" s="24"/>
      <c r="W26" s="25"/>
    </row>
    <row r="27" spans="8:23" ht="15" customHeight="1" x14ac:dyDescent="0.25">
      <c r="H27" s="99"/>
      <c r="I27" s="100"/>
      <c r="J27" s="100"/>
      <c r="K27" s="100"/>
      <c r="L27" s="100"/>
      <c r="M27" s="100"/>
      <c r="N27" s="100"/>
      <c r="O27" s="130"/>
      <c r="P27" s="26"/>
      <c r="Q27" s="27"/>
      <c r="R27" s="27"/>
      <c r="S27" s="27"/>
      <c r="T27" s="27"/>
      <c r="U27" s="27"/>
      <c r="V27" s="27"/>
      <c r="W27" s="28"/>
    </row>
    <row r="28" spans="8:23" ht="15" customHeight="1" x14ac:dyDescent="0.25">
      <c r="H28" s="99"/>
      <c r="I28" s="100"/>
      <c r="J28" s="100"/>
      <c r="K28" s="100"/>
      <c r="L28" s="100"/>
      <c r="M28" s="100"/>
      <c r="N28" s="100"/>
      <c r="O28" s="130"/>
      <c r="P28" s="117" t="s">
        <v>98</v>
      </c>
      <c r="Q28" s="118"/>
      <c r="R28" s="118"/>
      <c r="S28" s="118"/>
      <c r="T28" s="118"/>
      <c r="U28" s="118"/>
      <c r="V28" s="118"/>
      <c r="W28" s="119"/>
    </row>
    <row r="29" spans="8:23" ht="15" customHeight="1" x14ac:dyDescent="0.25">
      <c r="H29" s="99"/>
      <c r="I29" s="100"/>
      <c r="J29" s="100"/>
      <c r="K29" s="100"/>
      <c r="L29" s="100"/>
      <c r="M29" s="100"/>
      <c r="N29" s="100"/>
      <c r="O29" s="130"/>
      <c r="P29" s="120"/>
      <c r="Q29" s="121"/>
      <c r="R29" s="121"/>
      <c r="S29" s="121"/>
      <c r="T29" s="121"/>
      <c r="U29" s="121"/>
      <c r="V29" s="121"/>
      <c r="W29" s="122"/>
    </row>
    <row r="30" spans="8:23" ht="15" customHeight="1" x14ac:dyDescent="0.25">
      <c r="H30" s="99"/>
      <c r="I30" s="100"/>
      <c r="J30" s="100"/>
      <c r="K30" s="100"/>
      <c r="L30" s="100"/>
      <c r="M30" s="100"/>
      <c r="N30" s="100"/>
      <c r="O30" s="130"/>
      <c r="P30" s="123" t="s">
        <v>99</v>
      </c>
      <c r="Q30" s="124"/>
      <c r="R30" s="124"/>
      <c r="S30" s="124"/>
      <c r="T30" s="124"/>
      <c r="U30" s="124"/>
      <c r="V30" s="124"/>
      <c r="W30" s="125"/>
    </row>
    <row r="31" spans="8:23" ht="15" customHeight="1" x14ac:dyDescent="0.25">
      <c r="H31" s="99"/>
      <c r="I31" s="100"/>
      <c r="J31" s="100"/>
      <c r="K31" s="100"/>
      <c r="L31" s="100"/>
      <c r="M31" s="100"/>
      <c r="N31" s="100"/>
      <c r="O31" s="130"/>
      <c r="P31" s="123"/>
      <c r="Q31" s="124"/>
      <c r="R31" s="124"/>
      <c r="S31" s="124"/>
      <c r="T31" s="124"/>
      <c r="U31" s="124"/>
      <c r="V31" s="124"/>
      <c r="W31" s="125"/>
    </row>
    <row r="32" spans="8:23" ht="15" customHeight="1" x14ac:dyDescent="0.25">
      <c r="H32" s="99"/>
      <c r="I32" s="100"/>
      <c r="J32" s="100"/>
      <c r="K32" s="100"/>
      <c r="L32" s="100"/>
      <c r="M32" s="100"/>
      <c r="N32" s="100"/>
      <c r="O32" s="130"/>
      <c r="P32" s="123"/>
      <c r="Q32" s="124"/>
      <c r="R32" s="124"/>
      <c r="S32" s="124"/>
      <c r="T32" s="124"/>
      <c r="U32" s="124"/>
      <c r="V32" s="124"/>
      <c r="W32" s="125"/>
    </row>
    <row r="33" spans="8:23" ht="15" customHeight="1" x14ac:dyDescent="0.25">
      <c r="H33" s="99"/>
      <c r="I33" s="100"/>
      <c r="J33" s="100"/>
      <c r="K33" s="100"/>
      <c r="L33" s="100"/>
      <c r="M33" s="100"/>
      <c r="N33" s="100"/>
      <c r="O33" s="130"/>
      <c r="P33" s="123"/>
      <c r="Q33" s="124"/>
      <c r="R33" s="124"/>
      <c r="S33" s="124"/>
      <c r="T33" s="124"/>
      <c r="U33" s="124"/>
      <c r="V33" s="124"/>
      <c r="W33" s="125"/>
    </row>
    <row r="34" spans="8:23" ht="15" customHeight="1" x14ac:dyDescent="0.25">
      <c r="H34" s="99"/>
      <c r="I34" s="100"/>
      <c r="J34" s="100"/>
      <c r="K34" s="100"/>
      <c r="L34" s="100"/>
      <c r="M34" s="100"/>
      <c r="N34" s="100"/>
      <c r="O34" s="130"/>
      <c r="P34" s="123"/>
      <c r="Q34" s="124"/>
      <c r="R34" s="124"/>
      <c r="S34" s="124"/>
      <c r="T34" s="124"/>
      <c r="U34" s="124"/>
      <c r="V34" s="124"/>
      <c r="W34" s="125"/>
    </row>
    <row r="35" spans="8:23" ht="15" customHeight="1" x14ac:dyDescent="0.25">
      <c r="H35" s="101"/>
      <c r="I35" s="102"/>
      <c r="J35" s="102"/>
      <c r="K35" s="102"/>
      <c r="L35" s="102"/>
      <c r="M35" s="102"/>
      <c r="N35" s="102"/>
      <c r="O35" s="131"/>
      <c r="P35" s="47"/>
      <c r="Q35" s="48"/>
      <c r="R35" s="48"/>
      <c r="S35" s="48"/>
      <c r="T35" s="48"/>
      <c r="U35" s="48"/>
      <c r="V35" s="48"/>
      <c r="W35" s="49"/>
    </row>
    <row r="39" spans="8:23" ht="15" customHeight="1" x14ac:dyDescent="0.25">
      <c r="Q39" s="115"/>
    </row>
    <row r="40" spans="8:23" ht="15.75" x14ac:dyDescent="0.25">
      <c r="N40" s="7"/>
      <c r="Q40" s="115"/>
    </row>
    <row r="46" spans="8:23" x14ac:dyDescent="0.25">
      <c r="L46" s="116"/>
    </row>
    <row r="47" spans="8:23" x14ac:dyDescent="0.25">
      <c r="L47" s="116"/>
    </row>
  </sheetData>
  <mergeCells count="13">
    <mergeCell ref="Q39:Q40"/>
    <mergeCell ref="L46:L47"/>
    <mergeCell ref="P28:W29"/>
    <mergeCell ref="P30:W35"/>
    <mergeCell ref="H11:W11"/>
    <mergeCell ref="H12:W15"/>
    <mergeCell ref="H16:O35"/>
    <mergeCell ref="P16:W17"/>
    <mergeCell ref="P18:W19"/>
    <mergeCell ref="P20:W21"/>
    <mergeCell ref="P22:W23"/>
    <mergeCell ref="P24:W25"/>
    <mergeCell ref="P26:W27"/>
  </mergeCells>
  <pageMargins left="0.511811024" right="0.511811024" top="0.78740157499999996" bottom="0.78740157499999996" header="0.31496062000000002" footer="0.31496062000000002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8" operator="containsText" id="{AD0C5067-D45F-404F-ABA9-C544F021D66C}">
            <xm:f>NOT(ISERROR(SEARCH(Planilha2!$B$12,P16)))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19" operator="containsText" id="{91A6F517-B8D3-44AB-9828-5F8931E8DBB6}">
            <xm:f>NOT(ISERROR(SEARCH(Planilha2!$B$11,P16)))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27" operator="containsText" id="{223EAB3D-B8CB-42DC-98CC-F3DA4140878A}">
            <xm:f>NOT(ISERROR(SEARCH(Planilha2!$B$16,P16)))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ontainsText" priority="1" operator="containsText" id="{0EF005D2-8969-461F-9097-CA3E73E28454}">
            <xm:f>NOT(ISERROR(SEARCH(Planilha2!$B$12,P18)))</xm:f>
            <xm:f>Planilha2!$B$12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2" operator="containsText" id="{8A55EDC5-D9C8-4F13-A2BB-9C0995BEA862}">
            <xm:f>NOT(ISERROR(SEARCH(Planilha2!$B$11,P18)))</xm:f>
            <xm:f>Planilha2!$B$11</xm:f>
            <x14:dxf>
              <font>
                <color theme="6"/>
              </font>
              <fill>
                <patternFill>
                  <bgColor theme="9" tint="0.79998168889431442"/>
                </patternFill>
              </fill>
            </x14:dxf>
          </x14:cfRule>
          <x14:cfRule type="containsText" priority="3" operator="containsText" id="{E7C05320-0082-4E61-B9B3-BAB369E0DA30}">
            <xm:f>NOT(ISERROR(SEARCH(Planilha2!$B$16,P18)))</xm:f>
            <xm:f>Planilha2!$B$16</xm:f>
            <x14:dxf>
              <font>
                <color rgb="FFC00000"/>
              </font>
              <fill>
                <patternFill>
                  <bgColor rgb="FFFFD1D1"/>
                </patternFill>
              </fill>
            </x14:dxf>
          </x14:cfRule>
          <xm:sqref>P18 P20 P22 P24 P26 P28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C5A0-D750-4787-BE6E-278908FA00B5}">
  <dimension ref="A3:W158"/>
  <sheetViews>
    <sheetView topLeftCell="A126" workbookViewId="0">
      <selection activeCell="A161" sqref="A161"/>
    </sheetView>
  </sheetViews>
  <sheetFormatPr defaultRowHeight="15" x14ac:dyDescent="0.25"/>
  <sheetData>
    <row r="3" spans="2:7" x14ac:dyDescent="0.25">
      <c r="B3" t="s">
        <v>0</v>
      </c>
      <c r="G3" t="s">
        <v>105</v>
      </c>
    </row>
    <row r="4" spans="2:7" x14ac:dyDescent="0.25">
      <c r="B4" t="s">
        <v>1</v>
      </c>
      <c r="G4" t="s">
        <v>106</v>
      </c>
    </row>
    <row r="6" spans="2:7" x14ac:dyDescent="0.25">
      <c r="B6" t="s">
        <v>4</v>
      </c>
    </row>
    <row r="7" spans="2:7" x14ac:dyDescent="0.25">
      <c r="B7" t="s">
        <v>5</v>
      </c>
    </row>
    <row r="10" spans="2:7" x14ac:dyDescent="0.25">
      <c r="B10" t="s">
        <v>8</v>
      </c>
    </row>
    <row r="11" spans="2:7" ht="15.75" customHeight="1" x14ac:dyDescent="0.25">
      <c r="B11" t="s">
        <v>14</v>
      </c>
    </row>
    <row r="12" spans="2:7" x14ac:dyDescent="0.25">
      <c r="B12" t="s">
        <v>9</v>
      </c>
    </row>
    <row r="13" spans="2:7" x14ac:dyDescent="0.25">
      <c r="B13" t="s">
        <v>10</v>
      </c>
    </row>
    <row r="14" spans="2:7" x14ac:dyDescent="0.25">
      <c r="B14" t="s">
        <v>11</v>
      </c>
    </row>
    <row r="16" spans="2:7" x14ac:dyDescent="0.25">
      <c r="B16" t="s">
        <v>15</v>
      </c>
    </row>
    <row r="19" spans="2:15" x14ac:dyDescent="0.25">
      <c r="B19" s="2">
        <f>IF(AND(Planilha5!P12=Planilha2!B11,Planilha5!P16=Planilha2!B109),0.914+0.914,IF(AND(Planilha5!P12=Planilha2!B12,Planilha5!P16=Planilha2!B109),0.92+0.92,IF(Planilha5!P12=Planilha2!B11,0.914,IF(Planilha5!P12=Planilha2!B12,0.92,0))))</f>
        <v>0</v>
      </c>
      <c r="L19">
        <f>IF(Planilha5!P12=Planilha2!B11,Planilha2!N19,IF(Planilha5!P12=Planilha2!B12,Planilha2!O19,0))</f>
        <v>0</v>
      </c>
      <c r="N19">
        <v>0.91400000000000003</v>
      </c>
      <c r="O19" s="2">
        <v>0.92</v>
      </c>
    </row>
    <row r="20" spans="2:15" x14ac:dyDescent="0.25">
      <c r="B20" s="2">
        <f>IF(AND(Planilha5!P12=Planilha2!B11,Planilha5!P16=Planilha2!B109),1.828+0.914,IF(AND(Planilha5!P12=Planilha2!B12,Planilha5!P16=Planilha2!B109),1.84+0.92,IF(Planilha5!P12=Planilha2!B11,1.828,IF(Planilha5!P12=Planilha2!B12,1.84,0))))</f>
        <v>0</v>
      </c>
      <c r="N20">
        <v>1.8280000000000001</v>
      </c>
      <c r="O20" s="2">
        <f>O19*2</f>
        <v>1.84</v>
      </c>
    </row>
    <row r="21" spans="2:15" x14ac:dyDescent="0.25">
      <c r="B21" s="2">
        <f>IF(AND(Planilha5!P12=Planilha2!B11,Planilha5!P16=Planilha2!B109),2.742+0.914,IF(AND(Planilha5!P12=Planilha2!B12,Planilha5!P16=Planilha2!B109),2.76+0.92,IF(Planilha5!P12=Planilha2!B11,2.742,IF(Planilha5!P12=Planilha2!B12,2.76,0))))</f>
        <v>0</v>
      </c>
      <c r="N21">
        <v>2.742</v>
      </c>
      <c r="O21" s="2">
        <f>O19*3</f>
        <v>2.7600000000000002</v>
      </c>
    </row>
    <row r="23" spans="2:15" x14ac:dyDescent="0.25">
      <c r="B23" t="s">
        <v>21</v>
      </c>
    </row>
    <row r="24" spans="2:15" x14ac:dyDescent="0.25">
      <c r="B24" t="s">
        <v>22</v>
      </c>
    </row>
    <row r="25" spans="2:15" x14ac:dyDescent="0.25">
      <c r="B25" t="s">
        <v>18</v>
      </c>
    </row>
    <row r="26" spans="2:15" x14ac:dyDescent="0.25">
      <c r="B26" t="s">
        <v>19</v>
      </c>
    </row>
    <row r="28" spans="2:15" x14ac:dyDescent="0.25">
      <c r="B28" t="s">
        <v>23</v>
      </c>
    </row>
    <row r="30" spans="2:15" x14ac:dyDescent="0.25">
      <c r="B30" s="1">
        <v>0.1</v>
      </c>
    </row>
    <row r="31" spans="2:15" x14ac:dyDescent="0.25">
      <c r="B31" s="1">
        <v>0.15</v>
      </c>
    </row>
    <row r="32" spans="2:15" x14ac:dyDescent="0.25">
      <c r="B32" s="1">
        <v>0.2</v>
      </c>
    </row>
    <row r="33" spans="2:22" x14ac:dyDescent="0.25">
      <c r="B33" s="1">
        <v>0.25</v>
      </c>
    </row>
    <row r="34" spans="2:22" x14ac:dyDescent="0.25">
      <c r="B34" s="1">
        <v>0.3</v>
      </c>
    </row>
    <row r="35" spans="2:22" x14ac:dyDescent="0.25">
      <c r="B35" s="1">
        <v>0.35</v>
      </c>
    </row>
    <row r="36" spans="2:22" x14ac:dyDescent="0.25">
      <c r="B36" s="1">
        <v>0.4</v>
      </c>
    </row>
    <row r="37" spans="2:22" x14ac:dyDescent="0.25">
      <c r="B37" s="1">
        <v>0.45</v>
      </c>
    </row>
    <row r="38" spans="2:22" x14ac:dyDescent="0.25">
      <c r="B38" s="1">
        <v>0.5</v>
      </c>
    </row>
    <row r="40" spans="2:22" x14ac:dyDescent="0.25">
      <c r="B40" t="s">
        <v>27</v>
      </c>
    </row>
    <row r="41" spans="2:22" x14ac:dyDescent="0.25">
      <c r="B41" t="s">
        <v>28</v>
      </c>
    </row>
    <row r="42" spans="2:22" x14ac:dyDescent="0.25">
      <c r="L42" s="132" t="s">
        <v>111</v>
      </c>
      <c r="M42" s="132"/>
      <c r="O42" s="132" t="s">
        <v>112</v>
      </c>
      <c r="P42" s="132"/>
      <c r="T42" t="s">
        <v>59</v>
      </c>
      <c r="U42" t="s">
        <v>60</v>
      </c>
      <c r="V42" t="s">
        <v>61</v>
      </c>
    </row>
    <row r="43" spans="2:22" x14ac:dyDescent="0.25">
      <c r="B43">
        <f>IF(Planilha5!P36="A",Planilha5!P18,IF(Planilha5!P36="B",Planilha5!P20,0))</f>
        <v>0</v>
      </c>
      <c r="C43">
        <v>0.6</v>
      </c>
      <c r="G43">
        <f>IF(Planilha5!P40="A",Planilha5!P18,IF(Planilha5!P40="B",Planilha5!P20,0))</f>
        <v>0</v>
      </c>
      <c r="H43">
        <v>0.6</v>
      </c>
      <c r="L43">
        <f>Planilha5!P18</f>
        <v>0</v>
      </c>
      <c r="M43">
        <v>0.6</v>
      </c>
      <c r="O43">
        <f>Planilha5!P20</f>
        <v>0</v>
      </c>
      <c r="P43">
        <v>0.6</v>
      </c>
      <c r="T43">
        <f>B86*B87</f>
        <v>0</v>
      </c>
      <c r="U43">
        <f>IF(Planilha5!P16="Sim",(Planilha5!P22-Planilha2!L19)*B86,B86*Planilha5!P22)</f>
        <v>0</v>
      </c>
      <c r="V43">
        <f>IF(Planilha5!P16="Sim",(Planilha5!P22-Planilha2!L19)*B87,B87*Planilha5!P22)</f>
        <v>0</v>
      </c>
    </row>
    <row r="44" spans="2:22" x14ac:dyDescent="0.25">
      <c r="B44">
        <f>B43/C43</f>
        <v>0</v>
      </c>
      <c r="G44">
        <f>G43/H43</f>
        <v>0</v>
      </c>
      <c r="L44">
        <f>L43/M43</f>
        <v>0</v>
      </c>
      <c r="O44">
        <f>O43/P43</f>
        <v>0</v>
      </c>
      <c r="T44">
        <f>T43*2</f>
        <v>0</v>
      </c>
      <c r="U44">
        <f>U43*2</f>
        <v>0</v>
      </c>
      <c r="V44">
        <f>V43*2</f>
        <v>0</v>
      </c>
    </row>
    <row r="45" spans="2:22" x14ac:dyDescent="0.25">
      <c r="B45">
        <f>ROUNDDOWN(B44,0)</f>
        <v>0</v>
      </c>
      <c r="C45" s="1">
        <f>B45*C43</f>
        <v>0</v>
      </c>
      <c r="G45">
        <f>ROUNDDOWN(G44,0)</f>
        <v>0</v>
      </c>
      <c r="H45" s="1">
        <f>G45*H43</f>
        <v>0</v>
      </c>
      <c r="L45">
        <f>ROUNDDOWN(L44,0)</f>
        <v>0</v>
      </c>
      <c r="M45">
        <f>L45*M43</f>
        <v>0</v>
      </c>
      <c r="O45">
        <f>ROUNDDOWN(O44,0)</f>
        <v>0</v>
      </c>
      <c r="P45">
        <f>O45*P43</f>
        <v>0</v>
      </c>
    </row>
    <row r="46" spans="2:22" x14ac:dyDescent="0.25">
      <c r="B46">
        <f>B45-2</f>
        <v>-2</v>
      </c>
      <c r="G46">
        <f>G45-2</f>
        <v>-2</v>
      </c>
      <c r="T46">
        <f>SUM(T44:V44)</f>
        <v>0</v>
      </c>
      <c r="U46">
        <f>SUM(T44:V44)</f>
        <v>0</v>
      </c>
    </row>
    <row r="47" spans="2:22" x14ac:dyDescent="0.25">
      <c r="B47">
        <f>B46/2</f>
        <v>-1</v>
      </c>
      <c r="G47">
        <f>G46/2</f>
        <v>-1</v>
      </c>
      <c r="T47">
        <f>T46*0.15</f>
        <v>0</v>
      </c>
      <c r="U47">
        <f>U46*0.15</f>
        <v>0</v>
      </c>
    </row>
    <row r="48" spans="2:22" x14ac:dyDescent="0.25">
      <c r="B48">
        <f>ROUNDUP(B47,0)</f>
        <v>-1</v>
      </c>
      <c r="G48">
        <f>ROUNDUP(G47,0)</f>
        <v>-1</v>
      </c>
      <c r="T48">
        <f>T46+T47</f>
        <v>0</v>
      </c>
      <c r="U48">
        <f>SUM(U46:U47)</f>
        <v>0</v>
      </c>
      <c r="V48" t="str">
        <f>IF(Planilha6!P12="Infiltração",Planilha2!U48,IF(Planilha6!P12="Atenuação",Planilha2!U48*2,B28))</f>
        <v>Defina as dimensões do StormBrixx, por favor.</v>
      </c>
    </row>
    <row r="50" spans="2:16" x14ac:dyDescent="0.25">
      <c r="B50" t="str">
        <f>IF(B48&gt;=Planilha5!P30,"OK","ATENÇÃO: A quantidade de entradas não é compatível com as dimensões requeridas. Sugerimos aumentar a dimensão do lado escolhido (A ou B) ou diminuir a quantidade de tubulações de entrada.")</f>
        <v>ATENÇÃO: A quantidade de entradas não é compatível com as dimensões requeridas. Sugerimos aumentar a dimensão do lado escolhido (A ou B) ou diminuir a quantidade de tubulações de entrada.</v>
      </c>
      <c r="G50" t="str">
        <f>IF(G48&gt;=Planilha5!P30,"OK","ATENÇÃO: A quantidade de saídas não é compatível com as dimensões requeridas. Sugerimos aumentar a dimensão do lado escolhido (A ou B) ou diminuir a quantidade de tubulações de entrada.")</f>
        <v>ATENÇÃO: A quantidade de saídas não é compatível com as dimensões requeridas. Sugerimos aumentar a dimensão do lado escolhido (A ou B) ou diminuir a quantidade de tubulações de entrada.</v>
      </c>
    </row>
    <row r="53" spans="2:16" x14ac:dyDescent="0.25">
      <c r="B53" t="s">
        <v>33</v>
      </c>
    </row>
    <row r="54" spans="2:16" x14ac:dyDescent="0.25">
      <c r="B54" t="s">
        <v>34</v>
      </c>
    </row>
    <row r="55" spans="2:16" x14ac:dyDescent="0.25">
      <c r="B55" t="s">
        <v>35</v>
      </c>
    </row>
    <row r="56" spans="2:16" x14ac:dyDescent="0.25">
      <c r="B56" t="s">
        <v>36</v>
      </c>
    </row>
    <row r="57" spans="2:16" x14ac:dyDescent="0.25">
      <c r="B57" t="s">
        <v>37</v>
      </c>
    </row>
    <row r="58" spans="2:16" x14ac:dyDescent="0.25">
      <c r="B58" t="s">
        <v>38</v>
      </c>
    </row>
    <row r="61" spans="2:16" x14ac:dyDescent="0.25">
      <c r="B61" t="s">
        <v>41</v>
      </c>
      <c r="C61" t="s">
        <v>42</v>
      </c>
      <c r="M61" t="s">
        <v>102</v>
      </c>
      <c r="O61" s="10" t="s">
        <v>79</v>
      </c>
      <c r="P61">
        <f>B86</f>
        <v>0</v>
      </c>
    </row>
    <row r="62" spans="2:16" x14ac:dyDescent="0.25">
      <c r="B62">
        <v>1</v>
      </c>
      <c r="C62">
        <v>1</v>
      </c>
      <c r="M62">
        <f>Planilha5!P30</f>
        <v>0</v>
      </c>
      <c r="O62" s="10" t="s">
        <v>80</v>
      </c>
      <c r="P62">
        <f>B87</f>
        <v>0</v>
      </c>
    </row>
    <row r="63" spans="2:16" x14ac:dyDescent="0.25">
      <c r="B63">
        <v>2</v>
      </c>
      <c r="C63">
        <v>1</v>
      </c>
      <c r="M63">
        <f>M62</f>
        <v>0</v>
      </c>
      <c r="O63" s="10" t="s">
        <v>27</v>
      </c>
      <c r="P63">
        <f>P61*P62</f>
        <v>0</v>
      </c>
    </row>
    <row r="64" spans="2:16" x14ac:dyDescent="0.25">
      <c r="B64">
        <v>3</v>
      </c>
      <c r="C64">
        <v>1</v>
      </c>
      <c r="M64" s="9" t="str">
        <f>IF(M63=L63,"&lt;&lt;&lt;",ROUNDUP(M63,0))</f>
        <v>&lt;&lt;&lt;</v>
      </c>
      <c r="P64">
        <f>P63/400</f>
        <v>0</v>
      </c>
    </row>
    <row r="65" spans="2:16" x14ac:dyDescent="0.25">
      <c r="B65">
        <v>4</v>
      </c>
      <c r="C65">
        <v>2</v>
      </c>
      <c r="M65" t="s">
        <v>103</v>
      </c>
      <c r="P65">
        <f>ROUNDDOWN(P64,0)</f>
        <v>0</v>
      </c>
    </row>
    <row r="66" spans="2:16" x14ac:dyDescent="0.25">
      <c r="B66">
        <v>5</v>
      </c>
      <c r="C66">
        <v>2</v>
      </c>
      <c r="M66">
        <f>Planilha5!P44</f>
        <v>0</v>
      </c>
    </row>
    <row r="67" spans="2:16" x14ac:dyDescent="0.25">
      <c r="B67">
        <v>6</v>
      </c>
      <c r="C67">
        <v>2</v>
      </c>
      <c r="M67">
        <f>M66</f>
        <v>0</v>
      </c>
    </row>
    <row r="68" spans="2:16" x14ac:dyDescent="0.25">
      <c r="B68">
        <v>7</v>
      </c>
      <c r="C68">
        <v>3</v>
      </c>
      <c r="M68">
        <f>ROUNDUP(M67,0)</f>
        <v>0</v>
      </c>
    </row>
    <row r="69" spans="2:16" x14ac:dyDescent="0.25">
      <c r="B69">
        <v>8</v>
      </c>
      <c r="C69">
        <v>3</v>
      </c>
      <c r="M69" t="s">
        <v>108</v>
      </c>
    </row>
    <row r="70" spans="2:16" x14ac:dyDescent="0.25">
      <c r="B70">
        <v>9</v>
      </c>
      <c r="C70">
        <v>3</v>
      </c>
      <c r="M70" t="str">
        <f>IF(M64="&lt;&lt;&lt;","&lt;&lt;&lt;",IF(Planilha5!P14="Sim",M64+M68+P65,IF(Planilha5!P14="Não",(M64*2)+P65,Planilha2!B106)))</f>
        <v>&lt;&lt;&lt;</v>
      </c>
    </row>
    <row r="71" spans="2:16" x14ac:dyDescent="0.25">
      <c r="B71">
        <v>10</v>
      </c>
      <c r="C71">
        <v>4</v>
      </c>
    </row>
    <row r="72" spans="2:16" x14ac:dyDescent="0.25">
      <c r="B72">
        <v>11</v>
      </c>
      <c r="C72">
        <v>4</v>
      </c>
      <c r="M72" t="str">
        <f>IF(M70=C106,"&lt;&lt;&lt;",IF(M70=B106,"&lt;&lt;&lt;",IF(Planilha6!P28="1 Camada",Planilha2!M70,IF(Planilha6!P28="2 Camadas",Planilha2!M70*2,IF(Planilha6!P28="3 Camadas",Planilha2!M70*3,IF(Planilha6!P28="1 Camada + LO",M70*2,IF(Planilha6!P28="2 Camadas + LO",M70*3,IF(Planilha6!P28="3 Camadas + LO",M70*4,"&lt;&lt;&lt;"))))))))</f>
        <v>&lt;&lt;&lt;</v>
      </c>
    </row>
    <row r="73" spans="2:16" x14ac:dyDescent="0.25">
      <c r="B73">
        <v>12</v>
      </c>
      <c r="C73">
        <v>4</v>
      </c>
    </row>
    <row r="74" spans="2:16" x14ac:dyDescent="0.25">
      <c r="B74">
        <v>13</v>
      </c>
      <c r="C74">
        <v>5</v>
      </c>
    </row>
    <row r="77" spans="2:16" x14ac:dyDescent="0.25">
      <c r="B77" t="s">
        <v>46</v>
      </c>
    </row>
    <row r="78" spans="2:16" x14ac:dyDescent="0.25">
      <c r="B78" t="s">
        <v>47</v>
      </c>
    </row>
    <row r="80" spans="2:16" x14ac:dyDescent="0.25">
      <c r="B80" t="s">
        <v>62</v>
      </c>
    </row>
    <row r="81" spans="1:11" x14ac:dyDescent="0.25">
      <c r="B81" t="s">
        <v>63</v>
      </c>
    </row>
    <row r="82" spans="1:11" x14ac:dyDescent="0.25">
      <c r="B82" t="s">
        <v>64</v>
      </c>
    </row>
    <row r="83" spans="1:11" x14ac:dyDescent="0.25">
      <c r="B83" t="s">
        <v>18</v>
      </c>
    </row>
    <row r="86" spans="1:11" x14ac:dyDescent="0.25">
      <c r="A86" t="s">
        <v>79</v>
      </c>
      <c r="B86">
        <f>IF(Planilha6!P22=B28,0,Planilha6!P22)</f>
        <v>0</v>
      </c>
      <c r="C86">
        <v>0.6</v>
      </c>
      <c r="D86">
        <f>B86/C86</f>
        <v>0</v>
      </c>
      <c r="F86" t="str">
        <f>IF(Planilha6!P28="1 Camada",1,IF(Planilha6!P28="2 Camadas",2,IF(Planilha6!P28="3 Camadas",3,IF(Planilha6!P28="1 Camada + LO",1,IF(Planilha6!P28="2 Camadas + LO",2,IF(Planilha6!P28="3 Camadas + LO",3,""))))))</f>
        <v/>
      </c>
      <c r="H86" t="str">
        <f>IF(F86&lt;&gt;G86,D86*D87*F86,"&lt;&lt;&lt;")</f>
        <v>&lt;&lt;&lt;</v>
      </c>
      <c r="K86">
        <v>0.25</v>
      </c>
    </row>
    <row r="87" spans="1:11" x14ac:dyDescent="0.25">
      <c r="A87" t="s">
        <v>80</v>
      </c>
      <c r="B87">
        <f>IF(Planilha6!P24=B28,0,Planilha6!P24)</f>
        <v>0</v>
      </c>
      <c r="C87">
        <v>0.6</v>
      </c>
      <c r="D87">
        <f>B87/C87</f>
        <v>0</v>
      </c>
      <c r="H87" t="str">
        <f>IF(F86&lt;&gt;G86,(D86+D86+D87+D87)*F86,"&lt;&lt;&lt;")</f>
        <v>&lt;&lt;&lt;</v>
      </c>
      <c r="K87" t="str">
        <f>Planilha6!P34</f>
        <v>Defina a altura do recobrimento, por favor.</v>
      </c>
    </row>
    <row r="88" spans="1:11" x14ac:dyDescent="0.25">
      <c r="A88" t="s">
        <v>27</v>
      </c>
      <c r="B88" t="str">
        <f>Planilha6!P26</f>
        <v>Defina a altura do StormBrixx, por favor.</v>
      </c>
      <c r="H88" t="str">
        <f>IF(D86*D87&lt;=0,"&lt;&lt;&lt;",D86*D87)</f>
        <v>&lt;&lt;&lt;</v>
      </c>
      <c r="K88" t="str">
        <f>IF(AND(K87&lt;&gt;B82,M70&lt;&gt;B106),ROUNDUP(K87/K86,0)*M70,"&lt;&lt;&lt;")</f>
        <v>&lt;&lt;&lt;</v>
      </c>
    </row>
    <row r="89" spans="1:11" x14ac:dyDescent="0.25">
      <c r="H89" t="str">
        <f>IF(F86=1,ROUNDUP(((D86*D87)/2),0),IF(F86=2,ROUNDUP((((D86*D87)/2)*3),0),IF(F86=3,ROUNDUP((((D86*D87)/2)*5),0),"&lt;&lt;&lt;")))</f>
        <v>&lt;&lt;&lt;</v>
      </c>
    </row>
    <row r="91" spans="1:11" x14ac:dyDescent="0.25">
      <c r="B91" t="s">
        <v>81</v>
      </c>
    </row>
    <row r="92" spans="1:11" x14ac:dyDescent="0.25">
      <c r="B92" t="s">
        <v>82</v>
      </c>
    </row>
    <row r="93" spans="1:11" x14ac:dyDescent="0.25">
      <c r="B93" t="s">
        <v>83</v>
      </c>
    </row>
    <row r="95" spans="1:11" x14ac:dyDescent="0.25">
      <c r="B95" t="s">
        <v>84</v>
      </c>
    </row>
    <row r="96" spans="1:11" x14ac:dyDescent="0.25">
      <c r="B96" t="s">
        <v>85</v>
      </c>
    </row>
    <row r="97" spans="2:2" x14ac:dyDescent="0.25">
      <c r="B97" t="s">
        <v>86</v>
      </c>
    </row>
    <row r="98" spans="2:2" x14ac:dyDescent="0.25">
      <c r="B98" t="s">
        <v>87</v>
      </c>
    </row>
    <row r="99" spans="2:2" x14ac:dyDescent="0.25">
      <c r="B99" t="s">
        <v>88</v>
      </c>
    </row>
    <row r="100" spans="2:2" x14ac:dyDescent="0.25">
      <c r="B100" t="s">
        <v>89</v>
      </c>
    </row>
    <row r="101" spans="2:2" x14ac:dyDescent="0.25">
      <c r="B101" t="s">
        <v>90</v>
      </c>
    </row>
    <row r="102" spans="2:2" x14ac:dyDescent="0.25">
      <c r="B102" t="s">
        <v>91</v>
      </c>
    </row>
    <row r="103" spans="2:2" x14ac:dyDescent="0.25">
      <c r="B103" t="s">
        <v>92</v>
      </c>
    </row>
    <row r="106" spans="2:2" x14ac:dyDescent="0.25">
      <c r="B106" t="s">
        <v>107</v>
      </c>
    </row>
    <row r="109" spans="2:2" x14ac:dyDescent="0.25">
      <c r="B109" t="s">
        <v>105</v>
      </c>
    </row>
    <row r="110" spans="2:2" x14ac:dyDescent="0.25">
      <c r="B110" t="s">
        <v>106</v>
      </c>
    </row>
    <row r="113" spans="2:22" x14ac:dyDescent="0.25">
      <c r="B113" t="str">
        <f>IF(AND(Planilha5!P22=Planilha2!B19,Planilha5!P22&lt;&gt;0),"1 Camada",IF(AND(Planilha5!P22=Planilha2!B20,Planilha5!P22&lt;&gt;0),"2 Camadas",IF(AND(Planilha5!P22=Planilha2!B21,Planilha5!P22&lt;&gt;0),"3 Camadas",Planilha2!B25)))</f>
        <v>Defina a altura do StormBrixx, por favor.</v>
      </c>
    </row>
    <row r="114" spans="2:22" x14ac:dyDescent="0.25">
      <c r="B114" t="str">
        <f>IF(AND(Planilha5!P22=Planilha2!B19,Planilha5!P22&lt;&gt;0,Planilha5!P16=Planilha2!B109),"1 Camada + LO",IF(AND(Planilha5!P22=Planilha2!B20,Planilha5!P22&lt;&gt;0,Planilha5!P16=Planilha2!B109),"2 Camadas + LO",IF(AND(Planilha5!P22=Planilha2!B21,Planilha5!P22&lt;&gt;0,Planilha5!P16=Planilha2!B109),"3 Camadas + LO",Planilha2!B25)))</f>
        <v>Defina a altura do StormBrixx, por favor.</v>
      </c>
    </row>
    <row r="116" spans="2:22" x14ac:dyDescent="0.25">
      <c r="B116" t="s">
        <v>110</v>
      </c>
    </row>
    <row r="118" spans="2:22" x14ac:dyDescent="0.25">
      <c r="M118" t="s">
        <v>113</v>
      </c>
      <c r="O118" t="s">
        <v>114</v>
      </c>
      <c r="T118" t="s">
        <v>59</v>
      </c>
      <c r="U118" t="s">
        <v>60</v>
      </c>
      <c r="V118" t="s">
        <v>61</v>
      </c>
    </row>
    <row r="119" spans="2:22" x14ac:dyDescent="0.25">
      <c r="B119" t="s">
        <v>41</v>
      </c>
      <c r="C119" t="s">
        <v>42</v>
      </c>
      <c r="M119">
        <f>Planilha5!P30</f>
        <v>0</v>
      </c>
      <c r="T119">
        <f>M122*O122</f>
        <v>0</v>
      </c>
      <c r="U119">
        <f>L19*M122</f>
        <v>0</v>
      </c>
      <c r="V119">
        <f>L19*O122</f>
        <v>0</v>
      </c>
    </row>
    <row r="120" spans="2:22" x14ac:dyDescent="0.25">
      <c r="B120">
        <v>2</v>
      </c>
      <c r="C120">
        <v>5</v>
      </c>
      <c r="M120">
        <v>0.6</v>
      </c>
      <c r="T120">
        <f>T119*2</f>
        <v>0</v>
      </c>
      <c r="U120">
        <f>U119*2</f>
        <v>0</v>
      </c>
      <c r="V120">
        <f>V119*2</f>
        <v>0</v>
      </c>
    </row>
    <row r="121" spans="2:22" x14ac:dyDescent="0.25">
      <c r="B121">
        <v>3</v>
      </c>
      <c r="C121">
        <v>7</v>
      </c>
      <c r="M121">
        <f>2*M119+1</f>
        <v>1</v>
      </c>
    </row>
    <row r="122" spans="2:22" x14ac:dyDescent="0.25">
      <c r="B122">
        <v>4</v>
      </c>
      <c r="C122">
        <v>9</v>
      </c>
      <c r="M122">
        <f>IF(M119&lt;=0,0,M121*M120)</f>
        <v>0</v>
      </c>
      <c r="O122">
        <v>1.8</v>
      </c>
      <c r="T122">
        <f>SUM(T120:V120)</f>
        <v>0</v>
      </c>
      <c r="U122">
        <f>SUM(T120:V120)</f>
        <v>0</v>
      </c>
    </row>
    <row r="123" spans="2:22" x14ac:dyDescent="0.25">
      <c r="B123">
        <v>5</v>
      </c>
      <c r="C123">
        <v>11</v>
      </c>
      <c r="T123">
        <f>T122*0.15</f>
        <v>0</v>
      </c>
      <c r="U123">
        <f>U122*0.15</f>
        <v>0</v>
      </c>
    </row>
    <row r="124" spans="2:22" x14ac:dyDescent="0.25">
      <c r="B124">
        <v>6</v>
      </c>
      <c r="C124">
        <v>13</v>
      </c>
      <c r="M124">
        <f>IF(M122=0,0,IF(Planilha5!P12=Planilha2!B11,Planilha2!M122*Planilha2!O122*(0.914-Planilha5!P28-0.048)*0.97,IF(Planilha5!P12=Planilha2!B12,Planilha2!M122*Planilha2!O122*(0.92-Planilha5!P28-0.048)*0.97,B134)))</f>
        <v>0</v>
      </c>
      <c r="N124" t="s">
        <v>115</v>
      </c>
      <c r="T124">
        <f>SUM(T122:T123)</f>
        <v>0</v>
      </c>
      <c r="U124">
        <f>SUM(U122:U123)</f>
        <v>0</v>
      </c>
      <c r="V124" t="str">
        <f>IF(Planilha6!P12="Infiltração",Planilha2!U124,IF(Planilha6!P12="Atenuação",Planilha2!U124*2,B28))</f>
        <v>Defina as dimensões do StormBrixx, por favor.</v>
      </c>
    </row>
    <row r="125" spans="2:22" x14ac:dyDescent="0.25">
      <c r="B125">
        <v>7</v>
      </c>
      <c r="C125">
        <v>15</v>
      </c>
    </row>
    <row r="126" spans="2:22" x14ac:dyDescent="0.25">
      <c r="B126">
        <v>8</v>
      </c>
      <c r="C126">
        <v>17</v>
      </c>
      <c r="M126">
        <f>IF(M122=0,0,IF(Planilha5!P12=Planilha2!B11,Planilha2!M122*Planilha2!O122*0.914*0.97,IF(Planilha5!P12=Planilha2!B12,Planilha2!M122*Planilha2!O122*0.92*0.97,B134)))</f>
        <v>0</v>
      </c>
      <c r="N126" t="s">
        <v>116</v>
      </c>
    </row>
    <row r="127" spans="2:22" x14ac:dyDescent="0.25">
      <c r="B127">
        <v>9</v>
      </c>
      <c r="C127">
        <v>19</v>
      </c>
    </row>
    <row r="128" spans="2:22" x14ac:dyDescent="0.25">
      <c r="B128">
        <v>10</v>
      </c>
      <c r="C128">
        <v>21</v>
      </c>
      <c r="M128">
        <f>IF(M122=0,0,IF(Planilha5!P12=Planilha2!B11,Planilha2!M122*Planilha2!O122*0.914,IF(Planilha5!P12=Planilha2!B12,Planilha2!M122*Planilha2!O122*0.92,B134)))</f>
        <v>0</v>
      </c>
      <c r="N128" t="s">
        <v>118</v>
      </c>
      <c r="T128" t="s">
        <v>127</v>
      </c>
      <c r="U128">
        <f>T124*2</f>
        <v>0</v>
      </c>
    </row>
    <row r="129" spans="1:23" x14ac:dyDescent="0.25">
      <c r="T129" t="s">
        <v>124</v>
      </c>
      <c r="U129">
        <f>U128-T120</f>
        <v>0</v>
      </c>
    </row>
    <row r="131" spans="1:23" x14ac:dyDescent="0.25">
      <c r="T131" t="s">
        <v>125</v>
      </c>
      <c r="U131">
        <f>T48-T120</f>
        <v>0</v>
      </c>
    </row>
    <row r="132" spans="1:23" x14ac:dyDescent="0.25">
      <c r="T132" t="s">
        <v>126</v>
      </c>
      <c r="U132">
        <f>U131+U129</f>
        <v>0</v>
      </c>
      <c r="V132">
        <f>U132</f>
        <v>0</v>
      </c>
      <c r="W132" t="str">
        <f>IF(Planilha6!P12="Infiltração",Planilha2!V132,IF(Planilha6!P12="Atenuação",Planilha2!V132*2,B28))</f>
        <v>Defina as dimensões do StormBrixx, por favor.</v>
      </c>
    </row>
    <row r="134" spans="1:23" x14ac:dyDescent="0.25">
      <c r="B134" t="s">
        <v>117</v>
      </c>
    </row>
    <row r="137" spans="1:23" x14ac:dyDescent="0.25">
      <c r="G137" t="s">
        <v>128</v>
      </c>
      <c r="H137" t="s">
        <v>129</v>
      </c>
    </row>
    <row r="138" spans="1:23" x14ac:dyDescent="0.25">
      <c r="A138" t="s">
        <v>79</v>
      </c>
      <c r="B138">
        <f>M122</f>
        <v>0</v>
      </c>
      <c r="C138">
        <v>0.6</v>
      </c>
      <c r="D138">
        <f>B138/C138</f>
        <v>0</v>
      </c>
      <c r="G138">
        <f>D138*D139</f>
        <v>0</v>
      </c>
      <c r="H138">
        <f>G138*2</f>
        <v>0</v>
      </c>
      <c r="K138" t="s">
        <v>133</v>
      </c>
      <c r="L138" t="str">
        <f>IF(Planilha5!P16=Planilha2!G3,Planilha2!H86+Planilha2!H138,IF(Planilha5!P16=Planilha2!G4,Planilha2!H86,"&lt;&lt;&lt;"))</f>
        <v>&lt;&lt;&lt;</v>
      </c>
    </row>
    <row r="139" spans="1:23" x14ac:dyDescent="0.25">
      <c r="A139" t="s">
        <v>80</v>
      </c>
      <c r="B139">
        <f>O122</f>
        <v>1.8</v>
      </c>
      <c r="C139">
        <v>0.6</v>
      </c>
      <c r="D139">
        <f>B139/C139</f>
        <v>3</v>
      </c>
      <c r="G139">
        <f>D138+D138+D139+D139</f>
        <v>6</v>
      </c>
      <c r="H139">
        <f>G139*2</f>
        <v>12</v>
      </c>
      <c r="K139" t="s">
        <v>132</v>
      </c>
      <c r="L139" t="str">
        <f>IF(Planilha5!P16=Planilha2!G3,Planilha2!H87+Planilha2!H139,IF(Planilha5!P16=Planilha2!G4,Planilha2!H87,"&lt;&lt;&lt;"))</f>
        <v>&lt;&lt;&lt;</v>
      </c>
    </row>
    <row r="140" spans="1:23" x14ac:dyDescent="0.25">
      <c r="A140" t="s">
        <v>27</v>
      </c>
      <c r="B140" t="str">
        <f>Planilha6!P26</f>
        <v>Defina a altura do StormBrixx, por favor.</v>
      </c>
      <c r="G140" s="11" t="s">
        <v>130</v>
      </c>
      <c r="H140" s="11" t="s">
        <v>130</v>
      </c>
      <c r="K140" t="s">
        <v>131</v>
      </c>
      <c r="L140" s="12" t="s">
        <v>130</v>
      </c>
    </row>
    <row r="141" spans="1:23" x14ac:dyDescent="0.25">
      <c r="G141">
        <f>ROUNDUP(((D138*D139)/2),0)</f>
        <v>0</v>
      </c>
      <c r="H141">
        <f>G141*4</f>
        <v>0</v>
      </c>
      <c r="K141" t="s">
        <v>134</v>
      </c>
      <c r="L141" t="str">
        <f>IF(Planilha5!P16=Planilha2!G3,Planilha2!H89+Planilha2!H141,IF(Planilha5!P16=Planilha2!G4,Planilha2!H89,"&lt;&lt;&lt;"))</f>
        <v>&lt;&lt;&lt;</v>
      </c>
    </row>
    <row r="148" spans="1:3" x14ac:dyDescent="0.25">
      <c r="A148">
        <f>Planilha5!P50</f>
        <v>0</v>
      </c>
      <c r="B148" t="s">
        <v>141</v>
      </c>
    </row>
    <row r="149" spans="1:3" x14ac:dyDescent="0.25">
      <c r="A149">
        <f>A148*10</f>
        <v>0</v>
      </c>
      <c r="B149" t="s">
        <v>139</v>
      </c>
      <c r="C149" t="s">
        <v>142</v>
      </c>
    </row>
    <row r="150" spans="1:3" x14ac:dyDescent="0.25">
      <c r="A150">
        <v>1.5</v>
      </c>
      <c r="B150" t="s">
        <v>138</v>
      </c>
    </row>
    <row r="151" spans="1:3" x14ac:dyDescent="0.25">
      <c r="A151">
        <f>A150*A149</f>
        <v>0</v>
      </c>
      <c r="B151" t="s">
        <v>139</v>
      </c>
      <c r="C151" t="s">
        <v>142</v>
      </c>
    </row>
    <row r="152" spans="1:3" x14ac:dyDescent="0.25">
      <c r="A152">
        <f>Planilha5!P52</f>
        <v>0</v>
      </c>
      <c r="B152" t="s">
        <v>140</v>
      </c>
    </row>
    <row r="153" spans="1:3" x14ac:dyDescent="0.25">
      <c r="A153">
        <f>A152/100</f>
        <v>0</v>
      </c>
      <c r="B153" t="s">
        <v>145</v>
      </c>
    </row>
    <row r="154" spans="1:3" x14ac:dyDescent="0.25">
      <c r="A154">
        <f>Planilha4!P16</f>
        <v>0</v>
      </c>
      <c r="B154" t="s">
        <v>144</v>
      </c>
    </row>
    <row r="155" spans="1:3" x14ac:dyDescent="0.25">
      <c r="A155">
        <f>A153*A154</f>
        <v>0</v>
      </c>
      <c r="B155">
        <f>A155*0.95</f>
        <v>0</v>
      </c>
    </row>
    <row r="156" spans="1:3" x14ac:dyDescent="0.25">
      <c r="A156" t="str">
        <f>IF(B155&gt;A151,"OK",IF(B155&lt;=A151,"O Empuxo é maior que a força Peso do recobrimento. Recomendamos aumentar o recobrimento ou aumentar a densidade média do solo.",0))</f>
        <v>O Empuxo é maior que a força Peso do recobrimento. Recomendamos aumentar o recobrimento ou aumentar a densidade média do solo.</v>
      </c>
    </row>
    <row r="158" spans="1:3" x14ac:dyDescent="0.25">
      <c r="A158" t="s">
        <v>147</v>
      </c>
    </row>
  </sheetData>
  <mergeCells count="2">
    <mergeCell ref="L42:M42"/>
    <mergeCell ref="O42:P42"/>
  </mergeCells>
  <phoneticPr fontId="6" type="noConversion"/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Planilha3</vt:lpstr>
      <vt:lpstr>Planilha1</vt:lpstr>
      <vt:lpstr>Planilha4</vt:lpstr>
      <vt:lpstr>Planilha5</vt:lpstr>
      <vt:lpstr>Planilha6</vt:lpstr>
      <vt:lpstr>Planilha7</vt:lpstr>
      <vt:lpstr>Planilha2</vt:lpstr>
      <vt:lpstr>Planilha6!Area_de_impressao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 Freire Andre, Leonardo</dc:creator>
  <cp:lastModifiedBy>Augusto Freire Andre, Leonardo</cp:lastModifiedBy>
  <cp:lastPrinted>2025-03-21T11:35:29Z</cp:lastPrinted>
  <dcterms:created xsi:type="dcterms:W3CDTF">2025-01-29T10:51:00Z</dcterms:created>
  <dcterms:modified xsi:type="dcterms:W3CDTF">2025-05-21T13:54:53Z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2025-01-29T17:21:37Z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1263e501-d68b-4ade-ac3b-8c6ea182c686</vt:lpwstr>
  </property>
  <property fmtid="{D5CDD505-2E9C-101B-9397-08002B2CF9AE}" pid="8" name="MSIP_Label_a02c3a69-5bb1-4896-a591-f45b96dda59d_ContentBits">
    <vt:lpwstr>0</vt:lpwstr>
  </property>
</Properties>
</file>